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VALENCIA\"/>
    </mc:Choice>
  </mc:AlternateContent>
  <workbookProtection workbookAlgorithmName="SHA-512" workbookHashValue="RsuyCfY5u7RV3JEqGHIRTlynvdHKgEu3T/V7hkxKCqRIstheC2884WR1vnUmbp7iL8wEsG7brsBVgn5OsCO58w==" workbookSaltValue="RMPjK7MtXn6Ul9PjNp44hg==" workbookSpinCount="100000" lockStructure="1"/>
  <bookViews>
    <workbookView xWindow="-120" yWindow="-120" windowWidth="29040" windowHeight="15720" tabRatio="844"/>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EP19" i="8" s="1"/>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K19" i="19" s="1"/>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Q13" i="19"/>
  <c r="P13" i="19"/>
  <c r="P19" i="19" s="1"/>
  <c r="O13" i="19"/>
  <c r="N13" i="19"/>
  <c r="M13" i="19"/>
  <c r="L13" i="19"/>
  <c r="K13" i="19"/>
  <c r="J13" i="19"/>
  <c r="I13" i="19"/>
  <c r="I19" i="19" s="1"/>
  <c r="A5" i="19"/>
  <c r="B4" i="19"/>
  <c r="A4" i="19"/>
  <c r="B3" i="19"/>
  <c r="A3" i="19"/>
  <c r="B2" i="19"/>
  <c r="A2" i="19"/>
  <c r="EM13" i="8"/>
  <c r="EN13" i="8"/>
  <c r="EL13" i="8"/>
  <c r="EL18" i="8"/>
  <c r="EL19" i="8" s="1"/>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E17" i="13" s="1"/>
  <c r="AZ17" i="13"/>
  <c r="AY17" i="13"/>
  <c r="BC16" i="13"/>
  <c r="BF16" i="13" s="1"/>
  <c r="BC15" i="13"/>
  <c r="BF15" i="13" s="1"/>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C18" i="7" s="1"/>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J13" i="8"/>
  <c r="C13" i="7" s="1"/>
  <c r="I13" i="8"/>
  <c r="B13" i="7" s="1"/>
  <c r="CV18" i="8"/>
  <c r="CV13" i="8"/>
  <c r="CL18" i="8"/>
  <c r="CK18" i="8"/>
  <c r="CJ18" i="8"/>
  <c r="CI18" i="8"/>
  <c r="CH18" i="8"/>
  <c r="P18" i="12" s="1"/>
  <c r="CG18" i="8"/>
  <c r="O18" i="12" s="1"/>
  <c r="CU13" i="8"/>
  <c r="CT13" i="8"/>
  <c r="CS13" i="8"/>
  <c r="CL13" i="8"/>
  <c r="CK13" i="8"/>
  <c r="CJ13" i="8"/>
  <c r="CI13" i="8"/>
  <c r="CI19" i="8"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8" i="11" s="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D17" i="2" s="1"/>
  <c r="I9" i="2"/>
  <c r="I10" i="2"/>
  <c r="I11" i="2"/>
  <c r="I12" i="2"/>
  <c r="C10" i="2"/>
  <c r="C11" i="2"/>
  <c r="C12" i="2"/>
  <c r="D12" i="2" s="1"/>
  <c r="G9" i="2"/>
  <c r="G10" i="2"/>
  <c r="G11" i="2"/>
  <c r="G12" i="2"/>
  <c r="E9" i="2"/>
  <c r="E10" i="2"/>
  <c r="E11" i="2"/>
  <c r="E12" i="2"/>
  <c r="AO12" i="11"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BD15" i="8" s="1"/>
  <c r="AY15" i="8"/>
  <c r="BB12" i="8"/>
  <c r="BA12" i="8"/>
  <c r="AZ12" i="8"/>
  <c r="AY12" i="8"/>
  <c r="BB11" i="8"/>
  <c r="BA11" i="8"/>
  <c r="AZ11" i="8"/>
  <c r="AY11" i="8"/>
  <c r="BB9" i="8"/>
  <c r="BE9" i="8" s="1"/>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19" i="13" s="1"/>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I12" i="3" s="1"/>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C19" i="3"/>
  <c r="BD12" i="13"/>
  <c r="D13" i="7"/>
  <c r="AH19" i="8"/>
  <c r="BE11" i="13"/>
  <c r="AB19" i="19"/>
  <c r="E18" i="12"/>
  <c r="D18" i="12"/>
  <c r="ER19" i="8"/>
  <c r="EQ19" i="8"/>
  <c r="BA13" i="16"/>
  <c r="G18" i="12"/>
  <c r="W19" i="13"/>
  <c r="Z19" i="8"/>
  <c r="AL13" i="16"/>
  <c r="S13" i="16"/>
  <c r="P13" i="16"/>
  <c r="AN13" i="20"/>
  <c r="Z13" i="17"/>
  <c r="M18" i="2"/>
  <c r="H13" i="12"/>
  <c r="T19" i="8"/>
  <c r="T13" i="12"/>
  <c r="BD9" i="8"/>
  <c r="BF9" i="8"/>
  <c r="I19" i="8"/>
  <c r="E13" i="17"/>
  <c r="T13" i="20"/>
  <c r="T13" i="16"/>
  <c r="AP13" i="16"/>
  <c r="T18" i="17"/>
  <c r="BG15" i="13"/>
  <c r="J20" i="20"/>
  <c r="AF20" i="20"/>
  <c r="M20" i="20"/>
  <c r="AG20" i="20"/>
  <c r="S20" i="20"/>
  <c r="K20" i="20"/>
  <c r="Z20" i="20"/>
  <c r="AM20" i="20"/>
  <c r="AK20" i="20"/>
  <c r="W20" i="21"/>
  <c r="F20" i="20"/>
  <c r="AC17" i="11" l="1"/>
  <c r="AR18" i="11"/>
  <c r="AN17" i="11"/>
  <c r="AJ19" i="8"/>
  <c r="AH13" i="16"/>
  <c r="BF12" i="8"/>
  <c r="BA13" i="8"/>
  <c r="BG12" i="8"/>
  <c r="AY13" i="8"/>
  <c r="AC12" i="11"/>
  <c r="AA19" i="8"/>
  <c r="D17" i="6"/>
  <c r="J17" i="12" s="1"/>
  <c r="G18" i="2"/>
  <c r="BG16" i="13"/>
  <c r="BD16" i="13"/>
  <c r="BE15" i="13"/>
  <c r="BE16" i="13"/>
  <c r="BD11" i="13"/>
  <c r="F11" i="16"/>
  <c r="R8" i="9"/>
  <c r="X16" i="17" s="1"/>
  <c r="X17" i="17"/>
  <c r="AZ9" i="11"/>
  <c r="AZ19" i="11" s="1"/>
  <c r="L12" i="2"/>
  <c r="S16" i="17"/>
  <c r="R12" i="14"/>
  <c r="T9" i="11"/>
  <c r="AA16" i="16"/>
  <c r="AA11" i="16"/>
  <c r="U10" i="21"/>
  <c r="V17" i="16"/>
  <c r="L11" i="2"/>
  <c r="AO13" i="20"/>
  <c r="AS13" i="21"/>
  <c r="AT18" i="20"/>
  <c r="F15" i="16"/>
  <c r="BL15" i="16" s="1"/>
  <c r="BC13" i="13"/>
  <c r="AZ13" i="13"/>
  <c r="BG9" i="13"/>
  <c r="BE12" i="13"/>
  <c r="C12" i="14"/>
  <c r="K12" i="14" s="1"/>
  <c r="BG10" i="8"/>
  <c r="BD12" i="8"/>
  <c r="L11" i="14"/>
  <c r="B17" i="6"/>
  <c r="AV18" i="21"/>
  <c r="R19" i="8"/>
  <c r="AB19" i="8"/>
  <c r="N11" i="11"/>
  <c r="I16" i="3"/>
  <c r="E16" i="3"/>
  <c r="G11" i="3"/>
  <c r="G12" i="3"/>
  <c r="E12" i="6"/>
  <c r="C18" i="2"/>
  <c r="D18" i="2" s="1"/>
  <c r="AO15" i="11"/>
  <c r="H12" i="7"/>
  <c r="AM15" i="11"/>
  <c r="N18" i="2"/>
  <c r="K18" i="2"/>
  <c r="F12" i="21"/>
  <c r="CN19" i="19"/>
  <c r="AL19" i="16"/>
  <c r="AC19" i="13"/>
  <c r="AY18" i="8"/>
  <c r="BG15" i="8"/>
  <c r="K15" i="7" s="1"/>
  <c r="BE15" i="8"/>
  <c r="BF15" i="8"/>
  <c r="AC10" i="11"/>
  <c r="S19" i="8"/>
  <c r="BK19" i="8"/>
  <c r="BM19" i="8"/>
  <c r="AV18" i="17"/>
  <c r="F15" i="17"/>
  <c r="AQ15" i="17" s="1"/>
  <c r="EN19" i="8"/>
  <c r="I17" i="10"/>
  <c r="K17" i="10" s="1"/>
  <c r="I15" i="10"/>
  <c r="K15" i="10" s="1"/>
  <c r="D11" i="12"/>
  <c r="BD17" i="8"/>
  <c r="H17" i="7" s="1"/>
  <c r="X19" i="8"/>
  <c r="AL19" i="8"/>
  <c r="F17" i="17"/>
  <c r="AQ17" i="17" s="1"/>
  <c r="AE13" i="17"/>
  <c r="K18" i="11"/>
  <c r="AN12" i="11"/>
  <c r="B10" i="6"/>
  <c r="AU18" i="21"/>
  <c r="BB19" i="19"/>
  <c r="BF18" i="19"/>
  <c r="U19" i="19"/>
  <c r="AB19" i="13"/>
  <c r="X19" i="13"/>
  <c r="V19" i="13"/>
  <c r="AO19" i="13"/>
  <c r="AA19" i="13"/>
  <c r="Q19" i="13"/>
  <c r="ER19" i="13"/>
  <c r="AC11" i="11"/>
  <c r="AP13" i="17"/>
  <c r="AR13" i="21"/>
  <c r="O19" i="8"/>
  <c r="AW18" i="21"/>
  <c r="BM18" i="16"/>
  <c r="F15" i="11"/>
  <c r="BJ13" i="16"/>
  <c r="G16" i="3"/>
  <c r="BE10" i="8"/>
  <c r="BE11" i="8"/>
  <c r="BE12" i="8"/>
  <c r="I12" i="7" s="1"/>
  <c r="AO9" i="11"/>
  <c r="I10" i="7"/>
  <c r="F15" i="2"/>
  <c r="AL17" i="11"/>
  <c r="D15" i="6"/>
  <c r="J15" i="12" s="1"/>
  <c r="C17" i="6"/>
  <c r="C15" i="6"/>
  <c r="F16" i="11"/>
  <c r="AP12" i="11"/>
  <c r="AP10" i="11"/>
  <c r="Y17" i="11"/>
  <c r="J13" i="11"/>
  <c r="N9" i="11"/>
  <c r="F12" i="11"/>
  <c r="AQ12" i="11" s="1"/>
  <c r="F11" i="11"/>
  <c r="F17" i="16"/>
  <c r="BL17" i="16" s="1"/>
  <c r="F11" i="17"/>
  <c r="AQ11" i="17" s="1"/>
  <c r="G9" i="12"/>
  <c r="Y11" i="11"/>
  <c r="H15" i="7"/>
  <c r="K12" i="7"/>
  <c r="K10" i="7"/>
  <c r="B12" i="6"/>
  <c r="C12" i="6"/>
  <c r="I12" i="12" s="1"/>
  <c r="AL12" i="11"/>
  <c r="L17" i="14"/>
  <c r="H15" i="2"/>
  <c r="F12" i="2"/>
  <c r="F10" i="2"/>
  <c r="H9" i="2"/>
  <c r="BI15" i="16"/>
  <c r="AL15" i="11"/>
  <c r="N19" i="19"/>
  <c r="AT19" i="19"/>
  <c r="BD18" i="19"/>
  <c r="BC19" i="19"/>
  <c r="AG19" i="19"/>
  <c r="AO19" i="19"/>
  <c r="AR13" i="20"/>
  <c r="J18" i="17"/>
  <c r="F16" i="17"/>
  <c r="BK19" i="13"/>
  <c r="BH19" i="13"/>
  <c r="AQ19" i="13"/>
  <c r="AE19" i="13"/>
  <c r="Y19" i="13"/>
  <c r="U19" i="13"/>
  <c r="S19" i="13"/>
  <c r="BB18" i="13"/>
  <c r="AZ18" i="13"/>
  <c r="BF9" i="13"/>
  <c r="BD17" i="13"/>
  <c r="BC18" i="13"/>
  <c r="BG10" i="13"/>
  <c r="AK19" i="8"/>
  <c r="AI19" i="8"/>
  <c r="AE19" i="8"/>
  <c r="W19" i="8"/>
  <c r="Q19" i="8"/>
  <c r="E10" i="6"/>
  <c r="K10" i="12" s="1"/>
  <c r="F17" i="2"/>
  <c r="J15" i="2"/>
  <c r="J17" i="10"/>
  <c r="L17" i="10" s="1"/>
  <c r="C11" i="6"/>
  <c r="AO17" i="11"/>
  <c r="AR13" i="11"/>
  <c r="G18" i="7"/>
  <c r="AT19" i="8"/>
  <c r="AF13" i="21"/>
  <c r="AF19" i="21" s="1"/>
  <c r="AB13" i="21"/>
  <c r="AB19" i="21" s="1"/>
  <c r="C15" i="14"/>
  <c r="K15" i="14" s="1"/>
  <c r="G12" i="12"/>
  <c r="AP11" i="11"/>
  <c r="J16" i="10"/>
  <c r="L16" i="10" s="1"/>
  <c r="J15" i="10"/>
  <c r="L15" i="10" s="1"/>
  <c r="J12" i="10"/>
  <c r="L12" i="10" s="1"/>
  <c r="J11" i="10"/>
  <c r="L11" i="10" s="1"/>
  <c r="F9" i="2"/>
  <c r="E13" i="2"/>
  <c r="F13" i="2" s="1"/>
  <c r="L9" i="14"/>
  <c r="AL9" i="11"/>
  <c r="G13" i="2"/>
  <c r="AO11" i="11"/>
  <c r="J12" i="2"/>
  <c r="L12" i="14"/>
  <c r="J10" i="2"/>
  <c r="E9" i="6"/>
  <c r="K9" i="12" s="1"/>
  <c r="I9" i="7"/>
  <c r="H9" i="7"/>
  <c r="E11" i="6"/>
  <c r="I13" i="2"/>
  <c r="J13" i="2" s="1"/>
  <c r="H12" i="2"/>
  <c r="D11" i="2"/>
  <c r="B11" i="6"/>
  <c r="AL11" i="11"/>
  <c r="I11" i="7"/>
  <c r="D9" i="6"/>
  <c r="J9" i="12" s="1"/>
  <c r="T10" i="21"/>
  <c r="AE13" i="21"/>
  <c r="AE19" i="21" s="1"/>
  <c r="BE12" i="21"/>
  <c r="BE13" i="21" s="1"/>
  <c r="BE19" i="21" s="1"/>
  <c r="CJ19" i="19"/>
  <c r="R19" i="19"/>
  <c r="V19" i="19"/>
  <c r="AD19" i="19"/>
  <c r="AL19" i="19"/>
  <c r="AR19" i="19"/>
  <c r="EL19" i="19"/>
  <c r="AO18" i="20"/>
  <c r="Y19" i="19"/>
  <c r="AQ19" i="19"/>
  <c r="AT18" i="17"/>
  <c r="BA18" i="13"/>
  <c r="BA13" i="13"/>
  <c r="BD13" i="13" s="1"/>
  <c r="BE9" i="13"/>
  <c r="AY13" i="13"/>
  <c r="AM19" i="13"/>
  <c r="BE10" i="13"/>
  <c r="AN10" i="11"/>
  <c r="E10" i="3"/>
  <c r="J9" i="7"/>
  <c r="H17" i="2"/>
  <c r="I11" i="12"/>
  <c r="AN9" i="11"/>
  <c r="C13" i="5"/>
  <c r="AM19" i="8"/>
  <c r="AG19" i="8"/>
  <c r="AC19" i="8"/>
  <c r="Y19" i="8"/>
  <c r="U19" i="8"/>
  <c r="L19" i="8"/>
  <c r="BG17" i="8"/>
  <c r="K17" i="7" s="1"/>
  <c r="BF16" i="8"/>
  <c r="BD16" i="8"/>
  <c r="H16" i="7" s="1"/>
  <c r="B16" i="6"/>
  <c r="J17" i="7"/>
  <c r="H18" i="3"/>
  <c r="I18" i="3" s="1"/>
  <c r="AN11" i="11"/>
  <c r="E12" i="12"/>
  <c r="BF11" i="8"/>
  <c r="J11" i="7" s="1"/>
  <c r="BD11" i="8"/>
  <c r="H11" i="7" s="1"/>
  <c r="BG16" i="8"/>
  <c r="K16" i="7" s="1"/>
  <c r="AC19" i="17"/>
  <c r="W13" i="17"/>
  <c r="X13" i="17" s="1"/>
  <c r="BN18" i="16"/>
  <c r="BN19" i="16" s="1"/>
  <c r="H18" i="16"/>
  <c r="M13" i="21"/>
  <c r="M19" i="21" s="1"/>
  <c r="H13" i="21"/>
  <c r="H21" i="21" s="1"/>
  <c r="AM13" i="21"/>
  <c r="AO13" i="21"/>
  <c r="M13" i="2"/>
  <c r="N13" i="2"/>
  <c r="AJ13" i="16"/>
  <c r="C10" i="14"/>
  <c r="K10" i="14" s="1"/>
  <c r="Y10" i="11"/>
  <c r="AP15" i="11"/>
  <c r="J15" i="7"/>
  <c r="C16" i="6"/>
  <c r="K9" i="7"/>
  <c r="I18" i="2"/>
  <c r="J18" i="2" s="1"/>
  <c r="E16" i="6"/>
  <c r="D16" i="6"/>
  <c r="L16" i="14"/>
  <c r="L10" i="14"/>
  <c r="H10" i="2"/>
  <c r="D10" i="2"/>
  <c r="AO10" i="11"/>
  <c r="C9" i="6"/>
  <c r="I9" i="12" s="1"/>
  <c r="J9" i="2"/>
  <c r="B15" i="6"/>
  <c r="E18" i="2"/>
  <c r="F18" i="2" s="1"/>
  <c r="BI16" i="16"/>
  <c r="D12" i="6"/>
  <c r="E17" i="6"/>
  <c r="L19" i="21"/>
  <c r="BC21" i="21"/>
  <c r="BE18" i="19"/>
  <c r="BE13" i="19"/>
  <c r="M19" i="19"/>
  <c r="AC19" i="19"/>
  <c r="AK19" i="19"/>
  <c r="AS19" i="19"/>
  <c r="AJ19" i="19"/>
  <c r="AP19" i="19"/>
  <c r="Q19" i="19"/>
  <c r="X19" i="19"/>
  <c r="AF19" i="19"/>
  <c r="AN19" i="19"/>
  <c r="AM19" i="19"/>
  <c r="BI19" i="19"/>
  <c r="AY19" i="19"/>
  <c r="S19" i="19"/>
  <c r="AA19" i="19"/>
  <c r="AI19" i="19"/>
  <c r="BK19" i="19"/>
  <c r="CL19" i="19"/>
  <c r="ER19" i="19"/>
  <c r="AN20" i="20"/>
  <c r="AC20" i="20"/>
  <c r="G13" i="14"/>
  <c r="AX20" i="20"/>
  <c r="AE20" i="20"/>
  <c r="AH20" i="20"/>
  <c r="AP20" i="20"/>
  <c r="P20" i="20"/>
  <c r="R20" i="20"/>
  <c r="I20" i="20"/>
  <c r="L20" i="20"/>
  <c r="AQ20" i="20"/>
  <c r="T20" i="21"/>
  <c r="AJ20" i="20"/>
  <c r="Q20" i="20"/>
  <c r="AQ20" i="21"/>
  <c r="AU20" i="20"/>
  <c r="AD20" i="20"/>
  <c r="G18" i="14"/>
  <c r="AL20" i="20"/>
  <c r="AI20" i="20"/>
  <c r="U16" i="11"/>
  <c r="AV20" i="20"/>
  <c r="Y20" i="20"/>
  <c r="O10" i="11"/>
  <c r="U12" i="11"/>
  <c r="U10" i="11"/>
  <c r="AA20" i="20"/>
  <c r="E20" i="20"/>
  <c r="AO20" i="20"/>
  <c r="T20" i="20"/>
  <c r="W20" i="20"/>
  <c r="AZ20" i="20"/>
  <c r="AM16" i="11" l="1"/>
  <c r="AQ13" i="21"/>
  <c r="V15" i="20"/>
  <c r="V18" i="20" s="1"/>
  <c r="AZ12" i="11"/>
  <c r="AA12" i="21"/>
  <c r="T17" i="20"/>
  <c r="X12" i="17"/>
  <c r="T15" i="11"/>
  <c r="AM9" i="11"/>
  <c r="S17" i="14"/>
  <c r="V17" i="14" s="1"/>
  <c r="X10" i="21"/>
  <c r="AZ17" i="11"/>
  <c r="V15" i="16"/>
  <c r="X12" i="21"/>
  <c r="BF11" i="11"/>
  <c r="BH11" i="16"/>
  <c r="BL9" i="11"/>
  <c r="BH17" i="16"/>
  <c r="BG10" i="11"/>
  <c r="BM16" i="11"/>
  <c r="P17" i="17"/>
  <c r="BF17" i="11"/>
  <c r="BF16" i="11"/>
  <c r="S17" i="16"/>
  <c r="BL12" i="11"/>
  <c r="X11" i="17"/>
  <c r="BK15" i="11"/>
  <c r="S9" i="17"/>
  <c r="AP10" i="21"/>
  <c r="BM12" i="11"/>
  <c r="BH9" i="11"/>
  <c r="V9" i="11"/>
  <c r="BJ11" i="11"/>
  <c r="R10" i="21"/>
  <c r="BI17" i="11"/>
  <c r="BG9" i="11"/>
  <c r="BL11" i="11"/>
  <c r="BH17" i="11"/>
  <c r="BM15" i="11"/>
  <c r="AP17" i="20"/>
  <c r="AZ15" i="11"/>
  <c r="AZ18" i="11" s="1"/>
  <c r="BU11" i="17"/>
  <c r="BV17" i="16"/>
  <c r="BU10" i="17"/>
  <c r="BV12" i="16"/>
  <c r="BW12" i="20"/>
  <c r="BV11" i="16"/>
  <c r="BW11" i="20"/>
  <c r="U10" i="17"/>
  <c r="BW10" i="20"/>
  <c r="S11" i="17"/>
  <c r="BU12" i="17"/>
  <c r="AA17" i="16"/>
  <c r="X15" i="17"/>
  <c r="BG12" i="11"/>
  <c r="Q17" i="17"/>
  <c r="BH10" i="11"/>
  <c r="BI9" i="11"/>
  <c r="AQ10" i="21"/>
  <c r="S10" i="17"/>
  <c r="BH10" i="16"/>
  <c r="Q15" i="17"/>
  <c r="BM17" i="11"/>
  <c r="BF15" i="11"/>
  <c r="BH16" i="11"/>
  <c r="AQ12" i="21"/>
  <c r="BJ16" i="11"/>
  <c r="BL16" i="11"/>
  <c r="BH9" i="16"/>
  <c r="BJ17" i="11"/>
  <c r="BH15" i="16"/>
  <c r="BL17" i="11"/>
  <c r="BF10" i="11"/>
  <c r="Q10" i="11" s="1"/>
  <c r="BK11" i="11"/>
  <c r="BI10" i="11"/>
  <c r="S9" i="14"/>
  <c r="V9" i="14" s="1"/>
  <c r="BJ15" i="11"/>
  <c r="AP15" i="20"/>
  <c r="R17" i="20"/>
  <c r="R18" i="20" s="1"/>
  <c r="T17" i="16"/>
  <c r="BU15" i="17"/>
  <c r="BW17" i="20"/>
  <c r="BW16" i="20"/>
  <c r="BW15" i="20"/>
  <c r="BV10" i="16"/>
  <c r="BU16" i="17"/>
  <c r="S12" i="14"/>
  <c r="V12" i="14" s="1"/>
  <c r="V13" i="14" s="1"/>
  <c r="S15" i="16"/>
  <c r="S18" i="16" s="1"/>
  <c r="BF12" i="11"/>
  <c r="BL10" i="11"/>
  <c r="BK16" i="11"/>
  <c r="BG16" i="11"/>
  <c r="BM9" i="11"/>
  <c r="BK10" i="11"/>
  <c r="L17" i="2"/>
  <c r="U9" i="17"/>
  <c r="U19" i="17" s="1"/>
  <c r="L9" i="2"/>
  <c r="AA9" i="16"/>
  <c r="AP16" i="20"/>
  <c r="V15" i="11"/>
  <c r="BH15" i="11"/>
  <c r="Q17" i="20"/>
  <c r="Q18" i="20" s="1"/>
  <c r="BK12" i="11"/>
  <c r="BK9" i="11"/>
  <c r="V11" i="11"/>
  <c r="Q10" i="21"/>
  <c r="BI15" i="11"/>
  <c r="BJ12" i="11"/>
  <c r="BG15" i="11"/>
  <c r="BK17" i="11"/>
  <c r="T15" i="16"/>
  <c r="T18" i="16" s="1"/>
  <c r="T19" i="16" s="1"/>
  <c r="BW9" i="20"/>
  <c r="BV16" i="16"/>
  <c r="BV15" i="16"/>
  <c r="BU9" i="17"/>
  <c r="BU17" i="17"/>
  <c r="BV9" i="16"/>
  <c r="BV13" i="16" s="1"/>
  <c r="S11" i="14"/>
  <c r="V11" i="14" s="1"/>
  <c r="P15" i="17"/>
  <c r="P18" i="17" s="1"/>
  <c r="P19" i="17" s="1"/>
  <c r="BL15" i="11"/>
  <c r="BJ10" i="11"/>
  <c r="BH11" i="11"/>
  <c r="S17" i="17"/>
  <c r="BH12" i="16"/>
  <c r="S15" i="17"/>
  <c r="L15" i="2"/>
  <c r="X15" i="16"/>
  <c r="X18" i="16" s="1"/>
  <c r="V10" i="16"/>
  <c r="V9" i="16"/>
  <c r="T12" i="11"/>
  <c r="R11" i="14"/>
  <c r="AP18" i="20"/>
  <c r="AO16" i="17"/>
  <c r="V10" i="21"/>
  <c r="AO12" i="17"/>
  <c r="AO9" i="17"/>
  <c r="AZ13" i="11"/>
  <c r="AP13" i="21"/>
  <c r="AP13" i="20"/>
  <c r="AO10" i="17"/>
  <c r="Q9" i="11"/>
  <c r="AM12" i="11"/>
  <c r="AM11" i="11"/>
  <c r="AO17" i="17"/>
  <c r="X9" i="16"/>
  <c r="X19" i="16" s="1"/>
  <c r="AZ16" i="11"/>
  <c r="V11" i="16"/>
  <c r="X16" i="20"/>
  <c r="V12" i="21"/>
  <c r="X17" i="20"/>
  <c r="X13" i="20"/>
  <c r="AA15" i="16"/>
  <c r="AA10" i="16"/>
  <c r="T17" i="11"/>
  <c r="S15" i="14"/>
  <c r="V15" i="14" s="1"/>
  <c r="AO15" i="17"/>
  <c r="R16" i="14"/>
  <c r="R10" i="14"/>
  <c r="S10" i="14"/>
  <c r="V10" i="14" s="1"/>
  <c r="X12" i="16"/>
  <c r="L16" i="2"/>
  <c r="L10" i="2"/>
  <c r="AZ11" i="11"/>
  <c r="V12" i="16"/>
  <c r="X9" i="17"/>
  <c r="X10" i="17"/>
  <c r="T16" i="11"/>
  <c r="T11" i="11"/>
  <c r="R17" i="14"/>
  <c r="R18" i="14" s="1"/>
  <c r="S16" i="14"/>
  <c r="V16" i="14" s="1"/>
  <c r="I15" i="12"/>
  <c r="H19" i="21"/>
  <c r="AB21" i="21"/>
  <c r="K16" i="12"/>
  <c r="BE13" i="13"/>
  <c r="BA19" i="13"/>
  <c r="S19" i="16"/>
  <c r="BB19" i="16"/>
  <c r="BF18" i="13"/>
  <c r="BC19" i="13"/>
  <c r="BG13" i="13"/>
  <c r="BM19" i="13"/>
  <c r="AD19" i="13"/>
  <c r="AI19" i="13"/>
  <c r="L19" i="13"/>
  <c r="N19" i="13"/>
  <c r="BD10" i="13"/>
  <c r="AK19" i="13"/>
  <c r="Z19" i="13"/>
  <c r="Q18" i="17"/>
  <c r="Q19" i="17" s="1"/>
  <c r="BJ18" i="11"/>
  <c r="D13" i="5"/>
  <c r="E11" i="12"/>
  <c r="E9" i="12"/>
  <c r="D9" i="12"/>
  <c r="BI17" i="16"/>
  <c r="AP9" i="11"/>
  <c r="AV13" i="11"/>
  <c r="AX21" i="11"/>
  <c r="Y12" i="11"/>
  <c r="AA13" i="11"/>
  <c r="J12" i="12"/>
  <c r="BE17" i="8"/>
  <c r="I17" i="7" s="1"/>
  <c r="B9" i="6"/>
  <c r="H11" i="2"/>
  <c r="N13" i="17"/>
  <c r="K13" i="17"/>
  <c r="J13" i="17"/>
  <c r="K18" i="17"/>
  <c r="AF13" i="17"/>
  <c r="AX21" i="17"/>
  <c r="AQ10" i="17"/>
  <c r="AB18" i="11"/>
  <c r="I18" i="11"/>
  <c r="N12" i="11"/>
  <c r="L18" i="11"/>
  <c r="AC15" i="11"/>
  <c r="H18" i="12"/>
  <c r="H21" i="12" s="1"/>
  <c r="E17" i="3"/>
  <c r="E15" i="3"/>
  <c r="I11" i="3"/>
  <c r="G10" i="3"/>
  <c r="AV13" i="16"/>
  <c r="AG13" i="17"/>
  <c r="AJ18" i="17"/>
  <c r="AJ13" i="17"/>
  <c r="AK18" i="17"/>
  <c r="AK13" i="17"/>
  <c r="AL13" i="17"/>
  <c r="AM13" i="17"/>
  <c r="AV13" i="17"/>
  <c r="AV19" i="17" s="1"/>
  <c r="AT19" i="17"/>
  <c r="G13" i="16"/>
  <c r="EM19" i="8"/>
  <c r="G13" i="21"/>
  <c r="G19" i="21" s="1"/>
  <c r="E13" i="21"/>
  <c r="N13" i="21"/>
  <c r="N19" i="21" s="1"/>
  <c r="O13" i="21"/>
  <c r="O19" i="21" s="1"/>
  <c r="AG13" i="21"/>
  <c r="AG19" i="21" s="1"/>
  <c r="AL13" i="21"/>
  <c r="AL21" i="21" s="1"/>
  <c r="AN13" i="21"/>
  <c r="AN21" i="21" s="1"/>
  <c r="AY13" i="21"/>
  <c r="BA21" i="21"/>
  <c r="AT10" i="21"/>
  <c r="BL11" i="16"/>
  <c r="W18" i="16"/>
  <c r="C17" i="14"/>
  <c r="K17" i="14" s="1"/>
  <c r="F12" i="12"/>
  <c r="D12" i="12"/>
  <c r="AH13" i="11"/>
  <c r="Y9" i="11"/>
  <c r="Y13" i="11" s="1"/>
  <c r="F9" i="11"/>
  <c r="AQ9" i="11" s="1"/>
  <c r="AU13" i="11"/>
  <c r="AT13" i="11"/>
  <c r="AV18" i="11"/>
  <c r="R13" i="11"/>
  <c r="AQ10" i="11"/>
  <c r="F9" i="12"/>
  <c r="AI18" i="11"/>
  <c r="AI13" i="11"/>
  <c r="AE13" i="11"/>
  <c r="AG13" i="11"/>
  <c r="F11" i="12"/>
  <c r="AP17" i="11"/>
  <c r="Z13" i="11"/>
  <c r="AD13" i="11"/>
  <c r="AF18" i="11"/>
  <c r="AF13" i="11"/>
  <c r="N17" i="11"/>
  <c r="F17" i="11"/>
  <c r="AQ17" i="11" s="1"/>
  <c r="I13" i="11"/>
  <c r="J18" i="11"/>
  <c r="AQ15" i="11"/>
  <c r="AS13" i="11"/>
  <c r="AS18" i="11"/>
  <c r="E13" i="11"/>
  <c r="AH18" i="11"/>
  <c r="S13" i="11"/>
  <c r="T13" i="11" s="1"/>
  <c r="AQ11" i="11"/>
  <c r="AY18" i="11"/>
  <c r="C18" i="5"/>
  <c r="B13" i="5"/>
  <c r="J12" i="7"/>
  <c r="AN16" i="11"/>
  <c r="I15" i="3"/>
  <c r="I17" i="3"/>
  <c r="J9" i="10"/>
  <c r="L9" i="10" s="1"/>
  <c r="J10" i="10"/>
  <c r="L10" i="10" s="1"/>
  <c r="AM13" i="11"/>
  <c r="C13" i="6"/>
  <c r="C10" i="6"/>
  <c r="I10" i="12" s="1"/>
  <c r="AL16" i="11"/>
  <c r="AO16" i="11"/>
  <c r="AN15" i="11"/>
  <c r="E15" i="6"/>
  <c r="K15" i="12" s="1"/>
  <c r="I15" i="7"/>
  <c r="L15" i="14"/>
  <c r="D10" i="6"/>
  <c r="AL10" i="11"/>
  <c r="M19" i="2"/>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F18" i="7"/>
  <c r="AX19" i="21"/>
  <c r="G21"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K18" i="20"/>
  <c r="F17" i="20"/>
  <c r="AS17" i="20" s="1"/>
  <c r="AL18" i="20"/>
  <c r="AL19" i="20" s="1"/>
  <c r="AA18" i="20"/>
  <c r="AA19" i="20" s="1"/>
  <c r="G18" i="20"/>
  <c r="G20" i="20" s="1"/>
  <c r="Y18" i="20"/>
  <c r="Y19" i="20" s="1"/>
  <c r="AG18" i="20"/>
  <c r="Z18" i="20"/>
  <c r="Z19" i="20" s="1"/>
  <c r="L18" i="20"/>
  <c r="E18" i="20"/>
  <c r="AB19" i="17"/>
  <c r="AL18" i="17"/>
  <c r="R18" i="17"/>
  <c r="Y13" i="17"/>
  <c r="Y18" i="17"/>
  <c r="O18" i="17"/>
  <c r="O19" i="17" s="1"/>
  <c r="AH21" i="17"/>
  <c r="J13" i="16"/>
  <c r="F9" i="16"/>
  <c r="BL9" i="16" s="1"/>
  <c r="AC18" i="16"/>
  <c r="BP21" i="16"/>
  <c r="AZ18" i="16"/>
  <c r="J18" i="16"/>
  <c r="BS18" i="16"/>
  <c r="AD13" i="16"/>
  <c r="AD19" i="16" s="1"/>
  <c r="Q13" i="16"/>
  <c r="AS18" i="16"/>
  <c r="AZ13" i="16"/>
  <c r="AN19" i="16"/>
  <c r="AW19" i="11"/>
  <c r="AC16" i="11"/>
  <c r="K13" i="11"/>
  <c r="P12" i="11"/>
  <c r="AZ10" i="11"/>
  <c r="AT18" i="11"/>
  <c r="M13" i="11"/>
  <c r="L13" i="11"/>
  <c r="AP16" i="11"/>
  <c r="Z18" i="11"/>
  <c r="AB13" i="11"/>
  <c r="BH18" i="11"/>
  <c r="AQ16" i="11"/>
  <c r="W18" i="11"/>
  <c r="Y16" i="11"/>
  <c r="Y18" i="11" s="1"/>
  <c r="X18" i="11"/>
  <c r="AC9" i="11"/>
  <c r="H13" i="11"/>
  <c r="E13" i="12" s="1"/>
  <c r="S18" i="11"/>
  <c r="H18" i="11"/>
  <c r="X13" i="11"/>
  <c r="AA18" i="11"/>
  <c r="M18" i="11"/>
  <c r="C16" i="14"/>
  <c r="K16" i="14" s="1"/>
  <c r="J16" i="7"/>
  <c r="J16" i="12"/>
  <c r="F18" i="3"/>
  <c r="G18" i="3" s="1"/>
  <c r="H13" i="3"/>
  <c r="E18" i="6"/>
  <c r="BF18" i="11"/>
  <c r="K12" i="12"/>
  <c r="AJ18" i="11"/>
  <c r="D18" i="5"/>
  <c r="F16" i="2"/>
  <c r="H16" i="2"/>
  <c r="J16" i="2"/>
  <c r="F13" i="3"/>
  <c r="E9" i="3"/>
  <c r="G9" i="3"/>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L19" i="19"/>
  <c r="J19" i="19"/>
  <c r="M19" i="20"/>
  <c r="AD18" i="20"/>
  <c r="AD21" i="20" s="1"/>
  <c r="AI18" i="20"/>
  <c r="AI19" i="20" s="1"/>
  <c r="AG19" i="20"/>
  <c r="F16" i="20"/>
  <c r="AS16" i="20" s="1"/>
  <c r="K19" i="19"/>
  <c r="AQ19" i="20" s="1"/>
  <c r="O19" i="19"/>
  <c r="W19" i="19"/>
  <c r="AE19" i="19"/>
  <c r="BH19" i="19"/>
  <c r="BC21" i="20"/>
  <c r="AC13" i="21"/>
  <c r="AC21" i="21" s="1"/>
  <c r="Q13" i="21"/>
  <c r="Q19" i="21" s="1"/>
  <c r="BE21" i="21"/>
  <c r="AS13" i="20"/>
  <c r="I18" i="20"/>
  <c r="I19" i="20" s="1"/>
  <c r="BC19" i="21"/>
  <c r="AZ19" i="19"/>
  <c r="AD13" i="21"/>
  <c r="AD19" i="21" s="1"/>
  <c r="Z13" i="21"/>
  <c r="AJ13" i="21"/>
  <c r="F13" i="21"/>
  <c r="F19" i="21" s="1"/>
  <c r="Q19" i="20"/>
  <c r="CI19" i="19"/>
  <c r="AR19" i="20" s="1"/>
  <c r="EN19" i="19"/>
  <c r="AM18" i="20"/>
  <c r="AM21" i="20" s="1"/>
  <c r="EQ19" i="19"/>
  <c r="U18" i="20"/>
  <c r="J21" i="20"/>
  <c r="AT12" i="21"/>
  <c r="AH19" i="19"/>
  <c r="AH18" i="20"/>
  <c r="AH19" i="20" s="1"/>
  <c r="AO21" i="21"/>
  <c r="BG18" i="19"/>
  <c r="I13" i="21"/>
  <c r="I19" i="21" s="1"/>
  <c r="EO19" i="19"/>
  <c r="C11" i="14"/>
  <c r="K11" i="14" s="1"/>
  <c r="S13" i="21"/>
  <c r="S19" i="21" s="1"/>
  <c r="AE18" i="11"/>
  <c r="AJ13" i="11"/>
  <c r="F18" i="14"/>
  <c r="AP19" i="16"/>
  <c r="E18" i="14"/>
  <c r="F13" i="14"/>
  <c r="J19" i="8"/>
  <c r="C9" i="14"/>
  <c r="BC18" i="8"/>
  <c r="AZ18" i="8"/>
  <c r="BE18" i="13"/>
  <c r="BB19" i="13"/>
  <c r="BE19" i="13" s="1"/>
  <c r="AQ16" i="17"/>
  <c r="AG18" i="11"/>
  <c r="AK18" i="11"/>
  <c r="E13" i="14"/>
  <c r="U13" i="17"/>
  <c r="G19" i="20"/>
  <c r="E19" i="2"/>
  <c r="AI19" i="11"/>
  <c r="D19" i="12"/>
  <c r="AY19" i="8"/>
  <c r="AS19" i="2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S12" i="17"/>
  <c r="AO18" i="17"/>
  <c r="AP12" i="21"/>
  <c r="BM11" i="11"/>
  <c r="BM10" i="11"/>
  <c r="BF9" i="11"/>
  <c r="V16" i="16"/>
  <c r="J11" i="2"/>
  <c r="F11" i="2"/>
  <c r="BE16" i="8"/>
  <c r="I16" i="7" s="1"/>
  <c r="BB18" i="8"/>
  <c r="AK13" i="11"/>
  <c r="BA18" i="8"/>
  <c r="AR19" i="13"/>
  <c r="AJ19" i="13"/>
  <c r="N18" i="17"/>
  <c r="I9" i="3"/>
  <c r="AN19" i="8"/>
  <c r="M18" i="16"/>
  <c r="E18" i="17"/>
  <c r="E19" i="17" s="1"/>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M18" i="14"/>
  <c r="U21" i="11"/>
  <c r="U13" i="11"/>
  <c r="V13" i="11" s="1"/>
  <c r="U19" i="11"/>
  <c r="V19" i="11" s="1"/>
  <c r="V10" i="11"/>
  <c r="V12" i="11"/>
  <c r="O13" i="11"/>
  <c r="O19" i="11"/>
  <c r="AU20" i="17"/>
  <c r="AX20" i="21"/>
  <c r="BP20" i="16"/>
  <c r="BR20" i="16"/>
  <c r="U17" i="11"/>
  <c r="N20" i="20"/>
  <c r="X20" i="20"/>
  <c r="AW20" i="11"/>
  <c r="AV20" i="21"/>
  <c r="AB20" i="20"/>
  <c r="O20" i="20"/>
  <c r="H20" i="20"/>
  <c r="O16" i="11"/>
  <c r="H20" i="17"/>
  <c r="I17" i="12" l="1"/>
  <c r="V13" i="21"/>
  <c r="V19" i="21" s="1"/>
  <c r="BU21" i="17"/>
  <c r="BV18" i="16"/>
  <c r="BW21" i="20"/>
  <c r="Q15" i="11"/>
  <c r="P16" i="11"/>
  <c r="P9" i="11"/>
  <c r="BK18" i="11"/>
  <c r="P15" i="11"/>
  <c r="Q16" i="11"/>
  <c r="R19" i="20"/>
  <c r="P17" i="11"/>
  <c r="S13" i="14"/>
  <c r="BH13" i="11"/>
  <c r="X13" i="16"/>
  <c r="Q12" i="11"/>
  <c r="BK13" i="11"/>
  <c r="R13" i="21"/>
  <c r="R19" i="21" s="1"/>
  <c r="I21" i="11"/>
  <c r="AY21" i="21"/>
  <c r="AO19" i="20"/>
  <c r="AK21" i="20"/>
  <c r="AE19" i="11"/>
  <c r="W19" i="11"/>
  <c r="AI21" i="11"/>
  <c r="AP13" i="11"/>
  <c r="V17" i="11"/>
  <c r="AA19" i="11"/>
  <c r="L19" i="11"/>
  <c r="G20" i="11"/>
  <c r="G20" i="21"/>
  <c r="G21" i="20"/>
  <c r="K19" i="17"/>
  <c r="BF19" i="13"/>
  <c r="AH19" i="11"/>
  <c r="R19" i="11"/>
  <c r="T18" i="11"/>
  <c r="AG21" i="11"/>
  <c r="G19" i="11"/>
  <c r="BI18" i="16"/>
  <c r="BG19" i="19"/>
  <c r="X18" i="20"/>
  <c r="AX21" i="20"/>
  <c r="AU19" i="21"/>
  <c r="O19" i="16"/>
  <c r="D19" i="14"/>
  <c r="AU21" i="21"/>
  <c r="D19" i="5"/>
  <c r="AN19" i="21"/>
  <c r="F18" i="20"/>
  <c r="F21" i="20" s="1"/>
  <c r="AL19" i="21"/>
  <c r="BD19" i="13"/>
  <c r="BE18" i="8"/>
  <c r="I18" i="7" s="1"/>
  <c r="I19" i="2"/>
  <c r="F19" i="14"/>
  <c r="G21" i="11"/>
  <c r="AJ21" i="17"/>
  <c r="I19" i="11"/>
  <c r="N19" i="2"/>
  <c r="AY19" i="21"/>
  <c r="AQ19" i="21"/>
  <c r="AP19" i="20"/>
  <c r="G19" i="16"/>
  <c r="BG21" i="16"/>
  <c r="AO19" i="16"/>
  <c r="BD19" i="16"/>
  <c r="M19" i="11"/>
  <c r="D19" i="2"/>
  <c r="J19" i="11"/>
  <c r="D21" i="12"/>
  <c r="O18" i="11"/>
  <c r="X19" i="11"/>
  <c r="AB19" i="11"/>
  <c r="AK19" i="11"/>
  <c r="AG19" i="11"/>
  <c r="E21" i="12"/>
  <c r="AJ21" i="11"/>
  <c r="H19" i="11"/>
  <c r="Z19" i="11"/>
  <c r="AC13" i="11"/>
  <c r="N18" i="11"/>
  <c r="F18" i="11"/>
  <c r="B19" i="5"/>
  <c r="AN18" i="11"/>
  <c r="U19" i="16"/>
  <c r="BF21" i="16"/>
  <c r="AC19" i="20"/>
  <c r="O17" i="11"/>
  <c r="BK19" i="11" l="1"/>
  <c r="Q18" i="11"/>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D19" i="8" l="1"/>
  <c r="BM19" i="11"/>
  <c r="V19" i="16"/>
  <c r="F21" i="11"/>
  <c r="BG19" i="11"/>
  <c r="BV21" i="16"/>
  <c r="BV19" i="16"/>
  <c r="G19" i="3"/>
  <c r="Q13" i="11"/>
  <c r="AO21" i="11"/>
  <c r="BG19" i="8"/>
  <c r="H19" i="2"/>
  <c r="I19" i="3"/>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BF20" i="16"/>
  <c r="Q20" i="16"/>
  <c r="AK20" i="17"/>
  <c r="AA20" i="11"/>
  <c r="AO20" i="16"/>
  <c r="BA20" i="16"/>
  <c r="Q20" i="11"/>
  <c r="AA20" i="16"/>
  <c r="P20" i="17"/>
  <c r="O20" i="16"/>
  <c r="BD20" i="21"/>
  <c r="F20" i="21"/>
  <c r="AV20" i="16"/>
  <c r="X20" i="11"/>
  <c r="E20" i="17"/>
  <c r="AA20" i="21"/>
  <c r="T20" i="17"/>
  <c r="I20" i="16"/>
  <c r="AB20" i="16"/>
  <c r="E20" i="11"/>
  <c r="AS20" i="11"/>
  <c r="AU20" i="21"/>
  <c r="R20" i="16"/>
  <c r="I20" i="17"/>
  <c r="V20" i="21"/>
  <c r="Y20" i="21"/>
  <c r="AC20" i="11"/>
  <c r="AA20" i="17"/>
  <c r="I20" i="21"/>
  <c r="L20" i="16"/>
  <c r="AY20" i="11"/>
  <c r="AB20" i="11"/>
  <c r="AS20" i="21"/>
  <c r="AH20" i="17"/>
  <c r="K20" i="11"/>
  <c r="AJ20" i="17"/>
  <c r="AC20" i="21"/>
  <c r="AK20" i="16"/>
  <c r="H20" i="16"/>
  <c r="W20" i="11"/>
  <c r="BI20" i="16"/>
  <c r="K20" i="21"/>
  <c r="AX20" i="16"/>
  <c r="X20" i="16"/>
  <c r="M20" i="21"/>
  <c r="J20" i="12"/>
  <c r="AN20" i="21"/>
  <c r="BD20" i="16"/>
  <c r="AI20" i="17"/>
  <c r="AL20" i="21"/>
  <c r="AH20" i="16"/>
  <c r="AT20" i="17"/>
  <c r="AH20" i="11"/>
  <c r="AE20" i="21"/>
  <c r="AN20" i="17"/>
  <c r="H20" i="12"/>
  <c r="Z20" i="11"/>
  <c r="N20" i="16"/>
  <c r="Z20" i="16"/>
  <c r="N20" i="21"/>
  <c r="BG20" i="16"/>
  <c r="Y20" i="11"/>
  <c r="K20" i="12"/>
  <c r="S20" i="17"/>
  <c r="AO20" i="11"/>
  <c r="F20" i="11"/>
  <c r="AO20" i="17"/>
  <c r="V20" i="20"/>
  <c r="AR20" i="20"/>
  <c r="O12" i="11"/>
  <c r="L20" i="21"/>
  <c r="L20" i="11"/>
  <c r="AE20" i="17"/>
  <c r="AR20" i="17"/>
  <c r="BC20" i="21"/>
  <c r="AD20" i="21"/>
  <c r="AV20" i="11"/>
  <c r="F20" i="16"/>
  <c r="AC20" i="17"/>
  <c r="AP20" i="21"/>
  <c r="Z20" i="21"/>
  <c r="AM20" i="16"/>
  <c r="Y20" i="16"/>
  <c r="AP20" i="17"/>
  <c r="P20" i="21"/>
  <c r="AR20" i="16"/>
  <c r="AT20" i="11"/>
  <c r="AK20" i="21"/>
  <c r="O20" i="21"/>
  <c r="AH20" i="21"/>
  <c r="AK20" i="11"/>
  <c r="AD20" i="17"/>
  <c r="S20" i="16"/>
  <c r="K20" i="16"/>
  <c r="AE20" i="11"/>
  <c r="Y20" i="17"/>
  <c r="BQ20" i="16"/>
  <c r="E20" i="12"/>
  <c r="X20" i="17"/>
  <c r="E20" i="16"/>
  <c r="U20" i="17"/>
  <c r="T20" i="16"/>
  <c r="D20" i="12"/>
  <c r="AS20" i="16"/>
  <c r="E20" i="21"/>
  <c r="AG20" i="21"/>
  <c r="BE20" i="21"/>
  <c r="AL20" i="11"/>
  <c r="I20" i="12"/>
  <c r="W20" i="17"/>
  <c r="T20" i="11"/>
  <c r="AF20" i="21"/>
  <c r="AD20" i="11"/>
  <c r="M20" i="11"/>
  <c r="AL20" i="16"/>
  <c r="AF20" i="16"/>
  <c r="AT20" i="16"/>
  <c r="AT20" i="20"/>
  <c r="BE20" i="16"/>
  <c r="H20" i="21"/>
  <c r="AY20" i="16"/>
  <c r="AF20" i="17"/>
  <c r="J20" i="16"/>
  <c r="AC20" i="16"/>
  <c r="S20" i="21"/>
  <c r="X20" i="21"/>
  <c r="P20" i="16"/>
  <c r="K20" i="17"/>
  <c r="S20" i="11"/>
  <c r="AG20" i="16"/>
  <c r="I20" i="11"/>
  <c r="AU20" i="16"/>
  <c r="BJ20" i="16"/>
  <c r="BS20" i="16"/>
  <c r="AQ20" i="16"/>
  <c r="BM20" i="16"/>
  <c r="J20" i="17"/>
  <c r="U20" i="11"/>
  <c r="AI20" i="16"/>
  <c r="AJ20" i="21"/>
  <c r="Q20" i="21"/>
  <c r="AI20" i="21"/>
  <c r="AG20" i="11"/>
  <c r="F20" i="12"/>
  <c r="AR20" i="11"/>
  <c r="H20" i="11"/>
  <c r="R20" i="21"/>
  <c r="V20" i="17"/>
  <c r="AY20" i="21"/>
  <c r="AW20" i="16"/>
  <c r="R20" i="11"/>
  <c r="AO20" i="21"/>
  <c r="V20" i="16"/>
  <c r="AL20" i="17"/>
  <c r="Q20" i="17"/>
  <c r="AD20" i="16"/>
  <c r="AI20" i="11"/>
  <c r="O20" i="17"/>
  <c r="AZ20" i="16"/>
  <c r="AN20" i="11"/>
  <c r="J20" i="11"/>
  <c r="Z20" i="17"/>
  <c r="AS20" i="17"/>
  <c r="BN20" i="16"/>
  <c r="BH20" i="16"/>
  <c r="AW20" i="21"/>
  <c r="BK20" i="16"/>
  <c r="M20" i="17"/>
  <c r="O20" i="11"/>
  <c r="AN20" i="16"/>
  <c r="P20" i="11"/>
  <c r="AR20" i="21"/>
  <c r="U20" i="16"/>
  <c r="F20" i="17"/>
  <c r="BB20" i="16"/>
  <c r="AB20" i="21"/>
  <c r="N20" i="11"/>
  <c r="AM20" i="21"/>
  <c r="AF20" i="11"/>
  <c r="U20" i="21"/>
  <c r="AM20" i="11"/>
  <c r="G20" i="12"/>
  <c r="L20" i="17"/>
  <c r="J20" i="21"/>
  <c r="AW20" i="17"/>
  <c r="R20" i="17"/>
  <c r="AB20" i="17"/>
  <c r="W20" i="16"/>
  <c r="AG20" i="17"/>
  <c r="AZ20" i="11"/>
  <c r="V20" i="11"/>
  <c r="AJ20" i="16"/>
  <c r="AE20" i="16"/>
  <c r="AU20" i="11"/>
  <c r="M20" i="16"/>
  <c r="BO20" i="16"/>
  <c r="U20" i="20"/>
  <c r="AP20" i="16"/>
  <c r="BC20" i="16"/>
  <c r="AV20" i="17"/>
  <c r="N20" i="17"/>
  <c r="AJ20" i="11"/>
  <c r="AM20" i="17"/>
  <c r="AQ20" i="11" l="1"/>
  <c r="AT20" i="21"/>
  <c r="AP20" i="11"/>
  <c r="AQ20" i="17"/>
  <c r="BL20" i="16"/>
  <c r="I19" i="7"/>
  <c r="S19" i="11"/>
  <c r="T19" i="11" s="1"/>
  <c r="K19" i="12"/>
  <c r="T21"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<sst xmlns="http://schemas.openxmlformats.org/spreadsheetml/2006/main" count="2094" uniqueCount="914">
  <si>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</si>
  <si>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</si>
  <si>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</si>
  <si>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</si>
  <si>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</si>
  <si>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</si>
  <si>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</si>
  <si>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</si>
  <si>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</si>
  <si>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</si>
  <si>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</si>
  <si>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</si>
  <si>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</si>
  <si>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</si>
  <si>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</si>
  <si>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</si>
  <si>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</si>
  <si>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</si>
  <si>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</si>
  <si>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</si>
  <si>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</si>
  <si>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</si>
  <si>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</si>
  <si>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</si>
  <si>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</si>
  <si>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</si>
  <si>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</si>
  <si>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</si>
  <si>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</si>
  <si>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</si>
  <si>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</si>
  <si>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</si>
  <si>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</si>
  <si>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</si>
  <si>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</si>
  <si>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</si>
  <si>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</si>
  <si>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</si>
  <si>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</si>
  <si>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</si>
  <si>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</si>
  <si>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</si>
  <si>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</si>
  <si>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</si>
  <si>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</si>
  <si>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</si>
  <si>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</si>
  <si>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</si>
  <si>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</si>
  <si>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</si>
  <si>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</si>
  <si>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</si>
  <si>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</si>
  <si>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</si>
  <si>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</si>
  <si>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</si>
  <si>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</si>
  <si>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</si>
  <si>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</si>
  <si>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</si>
  <si>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</si>
  <si>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</si>
  <si>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</si>
  <si>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</si>
  <si>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</si>
  <si>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</si>
  <si>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</si>
  <si>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</si>
  <si>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</si>
  <si>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</si>
  <si>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</si>
  <si>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</si>
  <si>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</si>
  <si>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</si>
  <si>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</si>
  <si>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</si>
  <si>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</si>
  <si>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</si>
  <si>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</si>
  <si>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</si>
  <si>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</si>
  <si>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</si>
  <si>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</si>
  <si>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</si>
  <si>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</si>
  <si>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</si>
  <si>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</si>
  <si>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</si>
  <si>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</si>
  <si>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</si>
  <si>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</si>
  <si>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</si>
  <si>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</si>
  <si>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</si>
  <si>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</si>
  <si>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</si>
  <si>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</si>
  <si>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</si>
  <si>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</si>
  <si>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</si>
  <si>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</si>
  <si>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</si>
  <si>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</si>
  <si>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</si>
  <si>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</si>
  <si>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</si>
  <si>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</si>
  <si>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</si>
  <si>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</si>
  <si>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</si>
  <si>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</si>
  <si>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</si>
  <si>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</si>
  <si>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</si>
  <si>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</si>
  <si>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</si>
  <si>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</si>
  <si>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</si>
  <si>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</si>
  <si>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</si>
  <si>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</si>
  <si>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</si>
  <si>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</si>
  <si>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</si>
  <si>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</si>
  <si>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</si>
  <si>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</si>
  <si>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</si>
  <si>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</si>
  <si>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</si>
  <si>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</si>
  <si>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</si>
  <si>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</si>
  <si>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</si>
  <si>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</si>
  <si>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</si>
  <si>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</si>
  <si>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</si>
  <si>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</si>
  <si>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</si>
  <si>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</si>
  <si>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</si>
  <si>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</si>
  <si>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</si>
  <si>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</si>
  <si>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</si>
  <si>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</si>
  <si>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</si>
  <si>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</si>
  <si>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</si>
  <si>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</si>
  <si>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</si>
  <si>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</si>
  <si>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</si>
  <si>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</si>
  <si>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</si>
  <si>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</si>
  <si>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</si>
  <si>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</si>
  <si>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</si>
  <si>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</si>
  <si>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</si>
  <si>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</si>
  <si>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</si>
  <si>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</si>
  <si>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</si>
  <si>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</si>
  <si>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</si>
  <si>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</si>
  <si>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</si>
  <si>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</si>
  <si>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</si>
  <si>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</si>
  <si>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</si>
  <si>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</si>
  <si>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</si>
  <si>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</si>
  <si>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</si>
  <si>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</si>
  <si>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</si>
  <si>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</si>
  <si>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</si>
  <si>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</si>
  <si>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</si>
  <si>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</si>
  <si>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</si>
  <si>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</si>
  <si>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</si>
  <si>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</si>
  <si>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</si>
  <si>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</si>
  <si>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</si>
  <si>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</si>
  <si>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</si>
  <si>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</si>
  <si>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</si>
  <si>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</si>
  <si>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</si>
  <si>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</si>
  <si>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</si>
  <si>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</si>
  <si>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</si>
  <si>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</si>
  <si>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</si>
  <si>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</si>
  <si>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</si>
  <si>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</si>
  <si>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</si>
  <si>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</si>
  <si>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</si>
  <si>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</si>
  <si>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</si>
  <si>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</si>
  <si>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</si>
  <si>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</si>
  <si>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</si>
  <si>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</si>
  <si>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</si>
  <si>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</si>
  <si>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</si>
  <si>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</si>
  <si>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</si>
  <si>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</si>
  <si>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</si>
  <si>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</si>
  <si>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</si>
  <si>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</si>
  <si>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</si>
  <si>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</si>
  <si>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</si>
  <si>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</si>
  <si>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</si>
  <si>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</si>
  <si>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</si>
  <si>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</si>
  <si>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</si>
  <si>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</si>
  <si>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</si>
  <si>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</si>
  <si>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</si>
  <si>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</si>
  <si>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</si>
  <si>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</si>
  <si>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</si>
  <si>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</si>
  <si>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</si>
  <si>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</si>
  <si>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</si>
  <si>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</si>
  <si>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</si>
  <si>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</si>
  <si>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</si>
  <si>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</si>
  <si>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</si>
  <si>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</si>
  <si>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</si>
  <si>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</si>
  <si>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</si>
  <si>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</si>
  <si>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</si>
  <si>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</si>
  <si>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</si>
  <si>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</si>
  <si>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</si>
  <si>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</si>
  <si>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</si>
  <si>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</si>
  <si>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</si>
  <si>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</si>
  <si>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</si>
  <si>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</si>
  <si>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</si>
  <si>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</si>
  <si>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</si>
  <si>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</si>
  <si>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</si>
  <si>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</si>
  <si>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</si>
  <si>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</si>
  <si>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</si>
  <si>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</si>
  <si>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</si>
  <si>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</si>
  <si>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</si>
  <si>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</si>
  <si>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</si>
  <si>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</si>
  <si>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</si>
  <si>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</si>
  <si>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</si>
  <si>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</si>
  <si>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</si>
  <si>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</si>
  <si>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</si>
  <si>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</si>
  <si>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</si>
  <si>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</si>
  <si>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</si>
  <si>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</si>
  <si>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</si>
  <si>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</si>
  <si>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</si>
  <si>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</si>
  <si>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</si>
  <si>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</si>
  <si>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</si>
  <si>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</si>
  <si>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</si>
  <si>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</si>
  <si>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</si>
  <si>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</si>
  <si>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</si>
  <si>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</si>
  <si>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</si>
  <si>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</si>
  <si>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</si>
  <si>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</si>
  <si>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</si>
  <si>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</si>
  <si>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</si>
  <si>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</si>
  <si>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</si>
  <si>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</si>
  <si>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</si>
  <si>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</si>
  <si>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</si>
  <si>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</si>
  <si>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</si>
  <si>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</si>
  <si>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</si>
  <si>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</si>
  <si>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</si>
  <si>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</si>
  <si>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</si>
  <si>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</si>
  <si>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</si>
  <si>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</si>
  <si>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</si>
  <si>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</si>
  <si>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</si>
  <si>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</si>
  <si>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</si>
  <si>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</si>
  <si>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</si>
  <si>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</si>
  <si>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</si>
  <si>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</si>
  <si>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</si>
  <si>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</si>
  <si>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</si>
  <si>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</si>
  <si>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</si>
  <si>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</si>
  <si>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</si>
  <si>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</si>
  <si>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</si>
  <si>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</si>
  <si>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</si>
  <si>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</si>
  <si>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</si>
  <si>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</si>
  <si>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</si>
  <si>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</si>
  <si>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</si>
  <si>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</si>
  <si>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</si>
  <si>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</si>
  <si>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</si>
  <si>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</si>
  <si>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</si>
  <si>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</si>
  <si>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</si>
  <si>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</si>
  <si>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</si>
  <si>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</si>
  <si>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</si>
  <si>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</si>
  <si>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</si>
  <si>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</si>
  <si>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</si>
  <si>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</si>
  <si>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</si>
  <si>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</si>
  <si>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</si>
  <si>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</si>
  <si>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</si>
  <si>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</si>
  <si>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</si>
  <si>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</si>
  <si>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</si>
  <si>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</si>
  <si>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</si>
  <si>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</si>
  <si>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</si>
  <si>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</si>
  <si>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</si>
  <si>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</si>
  <si>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</si>
  <si>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</si>
  <si>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</si>
  <si>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</si>
  <si>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</si>
  <si>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</si>
  <si>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</si>
  <si>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</si>
  <si>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</si>
  <si>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</si>
  <si>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</si>
  <si>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</si>
  <si>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</si>
  <si>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</si>
  <si>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</si>
  <si>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</si>
  <si>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</si>
  <si>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</si>
  <si>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</si>
  <si>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</si>
  <si>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</si>
  <si>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</si>
  <si>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</si>
  <si>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</si>
  <si>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</si>
  <si>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</si>
  <si>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</si>
  <si>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</si>
  <si>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</si>
  <si>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</si>
  <si>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</si>
  <si>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</si>
  <si>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</si>
  <si>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</si>
  <si>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</si>
  <si>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</si>
  <si>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</si>
  <si>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</si>
  <si>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</si>
  <si>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</si>
  <si>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</si>
  <si>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</si>
  <si>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</si>
  <si>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</si>
  <si>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</si>
  <si>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</si>
  <si>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</si>
  <si>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</si>
  <si>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</si>
  <si>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</si>
  <si>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</si>
  <si>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</si>
  <si>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</si>
  <si>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</si>
  <si>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</si>
  <si>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</si>
  <si>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</si>
  <si>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</si>
  <si>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</si>
  <si>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</si>
  <si>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</si>
  <si>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</si>
  <si>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</si>
  <si>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</si>
  <si>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</si>
  <si>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</si>
  <si>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</si>
  <si>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</si>
  <si>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</si>
  <si>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</si>
  <si>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</si>
  <si>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</si>
  <si>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</si>
  <si>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</si>
  <si>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</si>
  <si>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</si>
  <si>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</si>
  <si>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</si>
  <si>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</si>
  <si>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</si>
  <si>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</si>
  <si>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</si>
  <si>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</si>
  <si>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</si>
  <si>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</si>
  <si>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</si>
  <si>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</si>
  <si>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</si>
  <si>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</si>
  <si>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</si>
  <si>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</si>
  <si>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</si>
  <si>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</si>
  <si>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</si>
  <si>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</si>
  <si>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</si>
  <si>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</si>
  <si>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</si>
  <si>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</si>
  <si>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</si>
  <si>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</si>
  <si>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</si>
  <si>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</si>
  <si>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</si>
  <si>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</si>
  <si>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</si>
  <si>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</si>
  <si>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</si>
  <si>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</si>
  <si>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</si>
  <si>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</si>
  <si>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</si>
  <si>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</si>
  <si>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</si>
  <si>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</si>
  <si>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</si>
  <si>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</si>
  <si>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</si>
  <si>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</si>
  <si>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</si>
  <si>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</si>
  <si>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</si>
  <si>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</si>
  <si>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</si>
  <si>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</si>
  <si>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</si>
  <si>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</si>
  <si>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</si>
  <si>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</si>
  <si>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</si>
  <si>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</si>
  <si>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</si>
  <si>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</si>
  <si>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</si>
  <si>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</si>
  <si>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</si>
  <si>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</si>
  <si>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</si>
  <si>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</si>
  <si>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</si>
  <si>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</si>
  <si>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</si>
  <si>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</si>
  <si>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</si>
  <si>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</si>
  <si>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</si>
  <si>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</si>
  <si>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</si>
  <si>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</si>
  <si>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</si>
  <si>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</si>
  <si>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</si>
  <si>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</si>
  <si>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</si>
  <si>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</si>
  <si>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</si>
  <si>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</si>
  <si>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</si>
  <si>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</si>
  <si>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</si>
  <si>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</si>
  <si>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</si>
  <si>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</si>
  <si>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</si>
  <si>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</si>
  <si>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</si>
  <si>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</si>
  <si>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</si>
  <si>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</si>
  <si>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</si>
  <si>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</si>
  <si>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</si>
  <si>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</si>
  <si>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</si>
  <si>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</si>
  <si>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</si>
  <si>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</si>
  <si>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</si>
  <si>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</si>
  <si>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</si>
  <si>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</si>
  <si>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</si>
  <si>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</si>
  <si>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</si>
  <si>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</si>
  <si>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</si>
  <si>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</si>
  <si>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</si>
  <si>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</si>
  <si>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</si>
  <si>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</si>
  <si>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</si>
  <si>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</si>
  <si>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</si>
  <si>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</si>
  <si>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</si>
  <si>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</si>
  <si>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</si>
  <si>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</si>
  <si>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</si>
  <si>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</si>
  <si>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</si>
  <si>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</si>
  <si>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</si>
  <si>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</si>
  <si>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</si>
  <si>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</si>
  <si>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</si>
  <si>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</si>
  <si>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</si>
  <si>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</si>
  <si>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</si>
  <si>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</si>
  <si>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</si>
  <si>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</si>
  <si>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</si>
  <si>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</si>
  <si>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</si>
  <si>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</si>
  <si>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</si>
  <si>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</si>
  <si>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</si>
  <si>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</si>
  <si>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</si>
  <si>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</si>
  <si>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</si>
  <si>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</si>
  <si>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</si>
  <si>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</si>
  <si>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</si>
  <si>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</si>
  <si>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</si>
  <si>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</si>
  <si>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</si>
  <si>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</si>
  <si>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</si>
  <si>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</si>
  <si>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</si>
  <si>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</si>
  <si>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</si>
  <si>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</si>
  <si>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</si>
  <si>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</si>
  <si>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</si>
  <si>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</si>
  <si>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</si>
  <si>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</si>
  <si>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</si>
  <si>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</si>
  <si>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</si>
  <si>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</si>
  <si>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</si>
  <si>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</si>
  <si>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</si>
  <si>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</si>
  <si>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</si>
  <si>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</si>
  <si>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</si>
  <si>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</si>
  <si>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</si>
  <si>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</si>
  <si>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</si>
  <si>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</si>
  <si>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</si>
  <si>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</si>
  <si>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</si>
  <si>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</si>
  <si>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</si>
  <si>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</si>
  <si>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</si>
  <si>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</si>
  <si>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</si>
  <si>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</si>
  <si>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</si>
  <si>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</si>
  <si>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</si>
  <si>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</si>
  <si>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</si>
  <si>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</si>
  <si>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</si>
  <si>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</si>
  <si>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</si>
  <si>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</si>
  <si>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</si>
  <si>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</si>
  <si>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</si>
  <si>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</si>
  <si>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</si>
  <si>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</si>
  <si>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</si>
  <si>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</si>
  <si>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</si>
  <si>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</si>
  <si>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</si>
  <si>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</si>
  <si>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</si>
  <si>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</si>
  <si>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</si>
  <si>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</si>
  <si>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</si>
  <si>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</si>
  <si>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</si>
  <si>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</si>
  <si>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</si>
  <si>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</si>
  <si>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</si>
  <si>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</si>
  <si>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</si>
  <si>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</si>
  <si>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</si>
  <si>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</si>
  <si>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</si>
  <si>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</si>
  <si>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</si>
  <si>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</si>
  <si>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</si>
  <si>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</si>
  <si>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</si>
  <si>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</si>
  <si>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</si>
  <si>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</si>
  <si>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</si>
  <si>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</si>
  <si>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</si>
  <si>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</si>
  <si>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</si>
  <si>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</si>
  <si>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</si>
  <si>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</si>
  <si>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</si>
  <si>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</si>
  <si>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</si>
  <si>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</si>
  <si>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</si>
  <si>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</si>
  <si>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</si>
  <si>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</si>
  <si>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</si>
  <si>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</si>
  <si>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</si>
  <si>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</si>
  <si>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</si>
  <si>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</si>
  <si>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</si>
  <si>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</si>
  <si>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</si>
  <si>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</si>
  <si>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</si>
  <si>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</si>
  <si>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</si>
  <si>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</si>
  <si>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</si>
  <si>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</si>
  <si>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</si>
  <si>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</si>
  <si>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</si>
  <si>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</si>
  <si>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</si>
  <si>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</si>
  <si>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</si>
  <si>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</si>
  <si>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</si>
  <si>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</si>
  <si>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</si>
  <si>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</si>
  <si>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</si>
  <si>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</si>
  <si>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</si>
  <si>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</si>
  <si>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</si>
  <si>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</si>
  <si>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</si>
  <si>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</si>
  <si>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</si>
  <si>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</si>
  <si>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</si>
  <si>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</si>
  <si>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</si>
  <si>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</si>
  <si>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</si>
  <si>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</si>
  <si>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</si>
  <si>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</si>
  <si>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</si>
  <si>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</si>
  <si>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</si>
  <si>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</si>
  <si>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</si>
  <si>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</si>
  <si>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</si>
  <si>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</si>
  <si>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</si>
  <si>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</si>
  <si>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</si>
  <si>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</si>
  <si>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</si>
  <si>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</si>
  <si>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</si>
  <si>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</si>
  <si>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</si>
  <si>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</si>
  <si>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</si>
  <si>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</si>
  <si>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</si>
  <si>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</si>
  <si>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</si>
  <si>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</si>
  <si>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</si>
  <si>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</si>
  <si>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</si>
  <si>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</si>
  <si>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</si>
  <si>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</si>
  <si>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</si>
  <si>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</si>
  <si>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</si>
  <si>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</si>
  <si>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</si>
  <si>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</si>
  <si>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</si>
  <si>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</si>
  <si>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</si>
  <si>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</si>
  <si>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</si>
  <si>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</si>
  <si>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</si>
  <si>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</si>
  <si>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</si>
  <si>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</si>
  <si>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</si>
  <si>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</si>
  <si>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</si>
  <si>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</si>
  <si>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</si>
  <si>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</si>
  <si>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</si>
  <si>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</si>
  <si>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</si>
  <si>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</si>
  <si>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</si>
  <si>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</si>
  <si>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</si>
  <si>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</si>
  <si>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</si>
  <si>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</si>
  <si>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</si>
  <si>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</si>
  <si>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</si>
  <si>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</si>
  <si>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</si>
  <si>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</si>
  <si>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</si>
  <si>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</si>
  <si>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</si>
  <si>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</si>
  <si>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</si>
  <si>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</si>
  <si>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</si>
  <si>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</si>
  <si>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</si>
  <si>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</si>
  <si>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</si>
  <si>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</si>
  <si>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</si>
  <si>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</si>
  <si>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</si>
  <si>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</si>
  <si>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</si>
  <si>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</si>
  <si>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</si>
  <si>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</si>
  <si>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</si>
  <si>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</si>
  <si>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</si>
  <si>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</si>
  <si>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</si>
  <si>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</si>
  <si>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</si>
  <si>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</si>
  <si>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</si>
  <si>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</si>
  <si>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</si>
  <si>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</si>
  <si>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</si>
  <si>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</si>
  <si>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</si>
  <si>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</si>
  <si>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</si>
  <si>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</si>
  <si>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</si>
  <si>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</si>
  <si>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</si>
  <si>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</si>
  <si>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</si>
  <si>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 xml:space="preserve">TVOLU415+PRONO618 </t>
  </si>
  <si>
    <t>TVOLU115+PRONO118</t>
  </si>
  <si>
    <t>TVOLU315+PRONO418+PRONO518</t>
  </si>
  <si>
    <t>TCON1111+MOVCO111+INCID111+MECAU111+TCON2111+TDERE118+NVL(CONCU119,0)+NVL(ICTOT119,0)+NVL(EXPAR119,0)+NVL(PCTOT119,0)+NVL(MONIT119,0)+NVL(JURIS119,0)+NVL(DILTO119,0)+NVL(MEDCA119,0)+NVL(ASTOT119,0)+INTEV115+PROCO118+PROES118+MEDTO118+INCTO118+AUTME115+SOLRE115+NVL(MICTO119,0)</t>
  </si>
  <si>
    <t>TCON1111+MOVCO111+INCID111+MECAU111+TCON2111+TDERE118+INTEV115+PROCO118+PROES118+MEDTO118+INCTO118+AUTME115+SOLRE115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</si>
  <si>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</si>
  <si>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</si>
  <si>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TCONT211+TCON2211+MOVCO211+INCID211+MECAU211+TDERE218+TDERE318+INTEV215+PROCO218+PROCO318+PROES218+MEDTO218+INCTO218+SOLRE215+AUTME215</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</si>
  <si>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</si>
  <si>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</si>
  <si>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TCON1311+TCON2311+MOVCO511+MOVCO611+MOVCO711+INCID311+MECAU311+TDERE418+TDERE518+INTEV315+PROCO518+PROES318+MEDTO318+INCTO318+AUTME315+SOLRE315</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</si>
  <si>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</si>
  <si>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</si>
  <si>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TCON1411+TCON2411+TDERE618+INTEV415+PROCO618+PROES418+MOVCO811+INCID411+MECAU411+MEDTO418+INCTO418+AUTME415+SOLRE415</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</si>
  <si>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</si>
  <si>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</si>
  <si>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Fecha Informe: 03 may. 2024</t>
  </si>
  <si>
    <t>Tribunales de Justicia</t>
  </si>
  <si>
    <t>COMUNIDAD VALENCIANA</t>
  </si>
  <si>
    <t>Provincias</t>
  </si>
  <si>
    <t>VALENCIA</t>
  </si>
  <si>
    <t>Resumenes por Partidos Judiciales</t>
  </si>
  <si>
    <t>XÀTIVA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</si>
</sst>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xf numFmtId="0" fontId="16" fillId="0" borderId="62" xfId="0" applyFont="1" applyBorder="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79" t="s">
        <v>100</v>
      </c>
      <c r="B3" s="1180"/>
      <c r="C3" s="1180"/>
      <c r="D3" s="1181"/>
      <c r="E3" s="369"/>
      <c r="F3" s="2"/>
      <c r="Q3" s="349">
        <v>1</v>
      </c>
      <c r="R3" s="349">
        <v>3</v>
      </c>
      <c r="S3" t="b">
        <f>AND(Q3&gt;=TrimIni,Q3&lt;=TrimFin)</f>
        <v>1</v>
      </c>
    </row>
    <row r="4" spans="1:19" ht="22.5" customHeight="1" thickBot="1">
      <c r="A4" s="370" t="s">
        <v>907</v>
      </c>
      <c r="B4" s="369"/>
      <c r="C4" s="369"/>
      <c r="D4" s="369"/>
      <c r="E4" s="369"/>
      <c r="F4" s="2"/>
      <c r="Q4" s="349">
        <v>2</v>
      </c>
      <c r="R4" s="349">
        <v>3</v>
      </c>
      <c r="S4" t="b">
        <f>AND(Q4&gt;=TrimIni,Q4&lt;=TrimFin)</f>
        <v>1</v>
      </c>
    </row>
    <row r="5" spans="1:19" ht="15.75" thickBot="1">
      <c r="A5" s="371" t="s">
        <v>37</v>
      </c>
      <c r="B5" s="372">
        <v>2023</v>
      </c>
      <c r="C5" s="373" t="s">
        <v>215</v>
      </c>
      <c r="D5" s="374">
        <v>1</v>
      </c>
      <c r="E5" s="375"/>
      <c r="F5" s="3"/>
      <c r="H5" t="s">
        <v>424</v>
      </c>
      <c r="Q5" s="349">
        <v>3</v>
      </c>
      <c r="R5" s="349">
        <v>2</v>
      </c>
      <c r="S5" t="b">
        <f>AND(Q5&gt;=TrimIni,Q5&lt;=TrimFin)</f>
        <v>1</v>
      </c>
    </row>
    <row r="6" spans="1:19" ht="15">
      <c r="A6" s="376"/>
      <c r="B6" s="375"/>
      <c r="C6" s="373" t="s">
        <v>216</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1</v>
      </c>
    </row>
    <row r="9" spans="1:19">
      <c r="A9" s="383" t="s">
        <v>908</v>
      </c>
      <c r="B9" s="378" t="s">
        <v>909</v>
      </c>
      <c r="C9" s="375"/>
      <c r="D9" s="375"/>
      <c r="E9" s="384"/>
      <c r="F9" s="3"/>
    </row>
    <row r="10" spans="1:19">
      <c r="A10" s="383" t="s">
        <v>910</v>
      </c>
      <c r="B10" s="375" t="s">
        <v>911</v>
      </c>
      <c r="C10" s="375"/>
      <c r="D10" s="375"/>
      <c r="E10" s="384"/>
      <c r="F10" s="3"/>
      <c r="Q10" s="349">
        <v>0</v>
      </c>
    </row>
    <row r="11" spans="1:19" ht="13.5" thickBot="1">
      <c r="A11" s="385" t="s">
        <v>912</v>
      </c>
      <c r="B11" s="386" t="s">
        <v>913</v>
      </c>
      <c r="C11" s="386"/>
      <c r="D11" s="386"/>
      <c r="E11" s="387"/>
      <c r="F11" s="3"/>
    </row>
    <row r="12" spans="1:19" ht="40.5" customHeight="1" thickBot="1">
      <c r="A12" s="377"/>
      <c r="B12" s="375"/>
      <c r="C12" s="375"/>
      <c r="D12" s="375"/>
      <c r="E12" s="375"/>
      <c r="F12" s="3"/>
      <c r="Q12" s="1108"/>
    </row>
    <row r="13" spans="1:19" ht="15">
      <c r="A13" s="388" t="s">
        <v>124</v>
      </c>
      <c r="B13" s="389" t="s">
        <v>55</v>
      </c>
      <c r="C13" s="793" t="s">
        <v>728</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o/A9e88qUwPGli5wb1fHScIgVhOr38cIqYcyiW1dxWJ2f+ty43d6xCK8uVWbzFnjGFe0FWtAvZiw3xk4pFucSA==" saltValue="xvRsK/UbqLUT+cVaPdouG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355</v>
      </c>
      <c r="E3" s="497"/>
    </row>
    <row r="4" spans="1:31" s="474" customFormat="1" ht="15.75" thickBot="1">
      <c r="A4" s="1088" t="s">
        <v>360</v>
      </c>
      <c r="B4" s="1099" t="str">
        <f>Criterios!B9</f>
        <v>COMUNIDAD VALENCIANA</v>
      </c>
      <c r="C4" s="1089"/>
      <c r="D4" s="1089"/>
      <c r="E4" s="1090"/>
      <c r="F4" s="1089"/>
      <c r="G4" s="546"/>
      <c r="H4" s="1329" t="s">
        <v>361</v>
      </c>
      <c r="I4" s="1330"/>
      <c r="J4" s="1330"/>
      <c r="K4" s="1330"/>
      <c r="L4" s="1330"/>
      <c r="M4" s="1091"/>
      <c r="N4" s="1329" t="s">
        <v>362</v>
      </c>
      <c r="O4" s="1330"/>
      <c r="P4" s="1330"/>
      <c r="Q4" s="1330"/>
      <c r="R4" s="1330"/>
      <c r="S4" s="1330"/>
      <c r="T4" s="1330"/>
      <c r="U4" s="1330"/>
      <c r="V4" s="1330"/>
      <c r="W4" s="1330"/>
      <c r="X4" s="1330"/>
      <c r="Y4" s="1330"/>
      <c r="Z4" s="1330"/>
      <c r="AA4" s="1330"/>
      <c r="AB4" s="1330"/>
      <c r="AC4" s="1330"/>
      <c r="AD4" s="1331"/>
    </row>
    <row r="5" spans="1:31" s="474" customFormat="1" ht="15.75" customHeight="1">
      <c r="A5" s="1337" t="s">
        <v>351</v>
      </c>
      <c r="B5" s="1339" t="str">
        <f>"Año:  " &amp;Criterios!B5 &amp; "      Trimestre   " &amp;Criterios!D5 &amp; " al " &amp;Criterios!D6</f>
        <v>Año:  2023      Trimestre   1 al 4</v>
      </c>
      <c r="C5" s="1343" t="s">
        <v>261</v>
      </c>
      <c r="D5" s="1345" t="s">
        <v>128</v>
      </c>
      <c r="E5" s="1345" t="s">
        <v>92</v>
      </c>
      <c r="F5" s="1347" t="s">
        <v>9</v>
      </c>
      <c r="G5" s="1335"/>
      <c r="H5" s="1332" t="s">
        <v>356</v>
      </c>
      <c r="I5" s="1349" t="s">
        <v>358</v>
      </c>
      <c r="J5" s="1332" t="s">
        <v>357</v>
      </c>
      <c r="K5" s="1334" t="s">
        <v>302</v>
      </c>
      <c r="L5" s="1334" t="s">
        <v>359</v>
      </c>
      <c r="M5" s="1334" t="s">
        <v>353</v>
      </c>
      <c r="N5" s="1319"/>
      <c r="O5" s="1320"/>
      <c r="Q5" s="1323" t="s">
        <v>452</v>
      </c>
      <c r="R5" s="1324"/>
      <c r="S5" s="1325"/>
      <c r="T5" s="1323"/>
      <c r="U5" s="1324"/>
      <c r="V5" s="1325"/>
      <c r="W5" s="1323" t="s">
        <v>272</v>
      </c>
      <c r="X5" s="1324"/>
      <c r="Y5" s="1324"/>
      <c r="Z5" s="1325"/>
      <c r="AA5" s="1323" t="s">
        <v>447</v>
      </c>
      <c r="AB5" s="1324"/>
      <c r="AC5" s="1324"/>
      <c r="AD5" s="1325"/>
    </row>
    <row r="6" spans="1:31" s="474" customFormat="1" ht="21.75" customHeight="1" thickBot="1">
      <c r="A6" s="1338"/>
      <c r="B6" s="1340"/>
      <c r="C6" s="1344"/>
      <c r="D6" s="1346"/>
      <c r="E6" s="1346"/>
      <c r="F6" s="1348"/>
      <c r="G6" s="1335"/>
      <c r="H6" s="1333"/>
      <c r="I6" s="1350"/>
      <c r="J6" s="1333"/>
      <c r="K6" s="1335"/>
      <c r="L6" s="1335"/>
      <c r="M6" s="1335"/>
      <c r="N6" s="1321"/>
      <c r="O6" s="1322"/>
      <c r="P6" s="1092"/>
      <c r="Q6" s="1326"/>
      <c r="R6" s="1327"/>
      <c r="S6" s="1328"/>
      <c r="T6" s="1326"/>
      <c r="U6" s="1327"/>
      <c r="V6" s="1328"/>
      <c r="W6" s="1326"/>
      <c r="X6" s="1327"/>
      <c r="Y6" s="1327"/>
      <c r="Z6" s="1328"/>
      <c r="AA6" s="1326"/>
      <c r="AB6" s="1327"/>
      <c r="AC6" s="1327"/>
      <c r="AD6" s="1328"/>
    </row>
    <row r="7" spans="1:31" s="474" customFormat="1" ht="84" customHeight="1">
      <c r="A7" s="1338"/>
      <c r="B7" s="1093" t="str">
        <f>Datos!A7</f>
        <v>COMPETENCIAS</v>
      </c>
      <c r="C7" s="1344"/>
      <c r="D7" s="1346"/>
      <c r="E7" s="1346"/>
      <c r="F7" s="1348"/>
      <c r="G7" s="1335"/>
      <c r="H7" s="1333"/>
      <c r="I7" s="1350"/>
      <c r="J7" s="1333"/>
      <c r="K7" s="1335"/>
      <c r="L7" s="1335"/>
      <c r="M7" s="1336"/>
      <c r="N7" s="1094" t="s">
        <v>229</v>
      </c>
      <c r="O7" s="1094" t="s">
        <v>393</v>
      </c>
      <c r="P7" s="1095" t="s">
        <v>394</v>
      </c>
      <c r="Q7" s="1096" t="s">
        <v>395</v>
      </c>
      <c r="R7" s="1095" t="s">
        <v>386</v>
      </c>
      <c r="S7" s="1096" t="s">
        <v>828</v>
      </c>
      <c r="T7" s="1148" t="s">
        <v>829</v>
      </c>
      <c r="U7" s="1148" t="s">
        <v>830</v>
      </c>
      <c r="V7" s="1148" t="s">
        <v>831</v>
      </c>
      <c r="W7" s="1094" t="s">
        <v>448</v>
      </c>
      <c r="X7" s="1162" t="s">
        <v>847</v>
      </c>
      <c r="Y7" s="1162" t="s">
        <v>848</v>
      </c>
      <c r="Z7" s="1163" t="s">
        <v>849</v>
      </c>
      <c r="AA7" s="1097" t="s">
        <v>448</v>
      </c>
      <c r="AB7" s="1162" t="s">
        <v>449</v>
      </c>
      <c r="AC7" s="1162" t="s">
        <v>850</v>
      </c>
      <c r="AD7" s="1163" t="s">
        <v>851</v>
      </c>
      <c r="AE7" s="1098" t="s">
        <v>826</v>
      </c>
    </row>
    <row r="8" spans="1:31" ht="15">
      <c r="A8" s="1341" t="str">
        <f>Datos!A8</f>
        <v>Jurisdicción Civil ( 1 ):</v>
      </c>
      <c r="B8" s="1342"/>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9</v>
      </c>
      <c r="D10" s="228">
        <f>IF(ISNUMBER(Datos!I10),Datos!I10," - ")</f>
        <v>9</v>
      </c>
      <c r="E10" s="229">
        <f>IF(ISNUMBER(Datos!J10),Datos!J10," - ")</f>
        <v>17</v>
      </c>
      <c r="F10" s="229">
        <f>IF(ISNUMBER(Datos!K10),Datos!K10," - ")</f>
        <v>16</v>
      </c>
      <c r="G10" s="1037" t="str">
        <f>IF(Datos!E10&lt;&gt;"",Datos!E10,Datos!D10)</f>
        <v>37</v>
      </c>
      <c r="H10" s="230">
        <f>IF(ISNUMBER(Datos!L10),Datos!L10," - ")</f>
        <v>10</v>
      </c>
      <c r="I10" s="1047" t="str">
        <f>IF(ISNUMBER(Datos!AS10/Datos!BM10),Datos!AS10/Datos!BM10," - ")</f>
        <v xml:space="preserve"> - </v>
      </c>
      <c r="J10" s="1048">
        <f>IF(ISNUMBER(Datos!BY10/Datos!CN10),Datos!BY10/Datos!CN10," - ")</f>
        <v>0</v>
      </c>
      <c r="K10" s="233">
        <f t="shared" ref="K10:K12" si="1">IF(ISNUMBER((E10-F10)/C10),(E10-F10)/C10," - ")</f>
        <v>0.1111111111111111</v>
      </c>
      <c r="L10" s="1028">
        <f>IF(ISNUMBER(NºAsuntos!I10/NºAsuntos!G10),(NºAsuntos!I10/NºAsuntos!G10)*11," - ")</f>
        <v>6.875</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4</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7.6342692584593239</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9</v>
      </c>
      <c r="D13" s="1052">
        <f>SUBTOTAL(9,D9:D12)</f>
        <v>9</v>
      </c>
      <c r="E13" s="1053">
        <f>SUBTOTAL(9,E9:E12)</f>
        <v>17</v>
      </c>
      <c r="F13" s="1054">
        <f>SUBTOTAL(9,F9:F12)</f>
        <v>16</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41" t="str">
        <f>Datos!A14</f>
        <v xml:space="preserve">Jurisdicción Penal ( 2 ):                      </v>
      </c>
      <c r="B14" s="1342"/>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4</v>
      </c>
      <c r="B16" s="505" t="str">
        <f>Datos!A16</f>
        <v xml:space="preserve">Jdos. 1ª Instª. e Instr.                        </v>
      </c>
      <c r="C16" s="228">
        <f t="shared" si="2"/>
        <v>1183</v>
      </c>
      <c r="D16" s="228">
        <f>IF(ISNUMBER(IF(D_I="SI",Datos!I16,Datos!I16+Datos!AC16)),IF(D_I="SI",Datos!I16,Datos!I16+Datos!AC16)," - ")</f>
        <v>1182</v>
      </c>
      <c r="E16" s="229">
        <f>IF(ISNUMBER(IF(D_I="SI",Datos!J16,Datos!J16+Datos!AD16)),IF(D_I="SI",Datos!J16,Datos!J16+Datos!AD16)," - ")</f>
        <v>3138</v>
      </c>
      <c r="F16" s="229">
        <f>IF(ISNUMBER(IF(D_I="SI",Datos!K16,Datos!K16+Datos!AE16)),IF(D_I="SI",Datos!K16,Datos!K16+Datos!AE16)," - ")</f>
        <v>2942</v>
      </c>
      <c r="G16" s="1037" t="str">
        <f>IF(Datos!E16&lt;&gt;"",Datos!E16,Datos!D16)</f>
        <v>04</v>
      </c>
      <c r="H16" s="230">
        <f>IF(ISNUMBER(IF(D_I="SI",Datos!L16,Datos!L16+Datos!AF16)),IF(D_I="SI",Datos!L16,Datos!L16+Datos!AF16)," - ")</f>
        <v>1379</v>
      </c>
      <c r="I16" s="1047" t="str">
        <f>IF(ISNUMBER(Datos!AS16/Datos!BM16),Datos!AS16/Datos!BM16," - ")</f>
        <v xml:space="preserve"> - </v>
      </c>
      <c r="J16" s="1048">
        <f>IF(ISNUMBER(Datos!BY16/Datos!CN16),Datos!BY16/Datos!CN16," - ")</f>
        <v>0</v>
      </c>
      <c r="K16" s="233">
        <f t="shared" si="3"/>
        <v>0.16568047337278108</v>
      </c>
      <c r="L16" s="1028">
        <f>IF(ISNUMBER(NºAsuntos!I16/NºAsuntos!G16),(NºAsuntos!I16/NºAsuntos!G16)*11," - ")</f>
        <v>5.1560163154316792</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66</v>
      </c>
      <c r="D17" s="228">
        <f>IF(ISNUMBER(IF(D_I="SI",Datos!I17,Datos!I17+Datos!AC17)),IF(D_I="SI",Datos!I17,Datos!I17+Datos!AC17)," - ")</f>
        <v>66</v>
      </c>
      <c r="E17" s="229">
        <f>IF(ISNUMBER(IF(D_I="SI",Datos!J17,Datos!J17+Datos!AD17)),IF(D_I="SI",Datos!J17,Datos!J17+Datos!AD17)," - ")</f>
        <v>43</v>
      </c>
      <c r="F17" s="229">
        <f>IF(ISNUMBER(IF(D_I="SI",Datos!K17,Datos!K17+Datos!AE17)),IF(D_I="SI",Datos!K17,Datos!K17+Datos!AE17)," - ")</f>
        <v>80</v>
      </c>
      <c r="G17" s="1037" t="str">
        <f>IF(Datos!E17&lt;&gt;"",Datos!E17,Datos!D17)</f>
        <v>37</v>
      </c>
      <c r="H17" s="230">
        <f>IF(ISNUMBER(IF(D_I="SI",Datos!L17,Datos!L17+Datos!AF17)),IF(D_I="SI",Datos!L17,Datos!L17+Datos!AF17)," - ")</f>
        <v>29</v>
      </c>
      <c r="I17" s="1047" t="str">
        <f>IF(ISNUMBER(Datos!AS17/Datos!BM17),Datos!AS17/Datos!BM17," - ")</f>
        <v xml:space="preserve"> - </v>
      </c>
      <c r="J17" s="1048" t="str">
        <f>IF(ISNUMBER((Datos!BY17+Datos!BZ17)/Datos!CN17),(Datos!BY17+Datos!BZ17)/Datos!CN17," - ")</f>
        <v xml:space="preserve"> - </v>
      </c>
      <c r="K17" s="233">
        <f t="shared" si="3"/>
        <v>-0.56060606060606055</v>
      </c>
      <c r="L17" s="1028">
        <f>IF(ISNUMBER(NºAsuntos!I17/NºAsuntos!G17),(NºAsuntos!I17/NºAsuntos!G17)*11," - ")</f>
        <v>3.9874999999999998</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1249</v>
      </c>
      <c r="D18" s="1052">
        <f>SUBTOTAL(9,D15:D17)</f>
        <v>1248</v>
      </c>
      <c r="E18" s="1053">
        <f>SUBTOTAL(9,E15:E17)</f>
        <v>3181</v>
      </c>
      <c r="F18" s="1053">
        <f>SUBTOTAL(9,F15:F17)</f>
        <v>3022</v>
      </c>
      <c r="G18" s="1055" t="str">
        <f ca="1">INDIRECT(CONCATENATE("G",ROW()-1))</f>
        <v>37</v>
      </c>
      <c r="H18" s="1056">
        <f ca="1">SUMIF(G$14:G17,G18,H$14:H17)</f>
        <v>29</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1258</v>
      </c>
      <c r="D19" s="1074">
        <f>SUBTOTAL(9,D9:D18)</f>
        <v>1257</v>
      </c>
      <c r="E19" s="1075">
        <f>SUBTOTAL(9,E9:E18)</f>
        <v>3198</v>
      </c>
      <c r="F19" s="1075">
        <f>SUBTOTAL(9,F9:F18)</f>
        <v>3038</v>
      </c>
      <c r="G19" s="1076"/>
      <c r="H19" s="1077">
        <f ca="1">SUMIF(B9:B18,"TOTAL",H9:H18)</f>
        <v>29</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03 may.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18" t="s">
        <v>635</v>
      </c>
      <c r="O25" s="1318"/>
      <c r="P25" s="1318"/>
      <c r="Q25" s="1318"/>
      <c r="R25" s="1318"/>
      <c r="S25" s="1318"/>
      <c r="T25" s="1318"/>
      <c r="U25" s="1318"/>
      <c r="V25" s="1318"/>
      <c r="W25" s="1318"/>
      <c r="Y25" s="1318" t="s">
        <v>636</v>
      </c>
      <c r="Z25" s="1318"/>
      <c r="AA25" s="1318"/>
      <c r="AB25" s="1318"/>
      <c r="AC25" s="1318"/>
      <c r="AD25" s="1318"/>
    </row>
    <row r="27" spans="1:31">
      <c r="N27" s="1034" t="s">
        <v>637</v>
      </c>
      <c r="O27" s="1314" t="s">
        <v>638</v>
      </c>
      <c r="P27" s="1314"/>
      <c r="Q27" s="1314"/>
      <c r="R27" s="1314"/>
      <c r="S27" s="1314"/>
      <c r="T27" s="1314"/>
      <c r="U27" s="1314"/>
      <c r="V27" s="1314"/>
      <c r="W27" s="1314"/>
      <c r="Y27" s="1034" t="s">
        <v>637</v>
      </c>
      <c r="Z27" s="1316" t="s">
        <v>639</v>
      </c>
      <c r="AA27" s="1316"/>
      <c r="AB27" s="1316"/>
      <c r="AC27" s="1316"/>
      <c r="AD27" s="1316"/>
    </row>
    <row r="28" spans="1:31">
      <c r="N28" s="1034" t="s">
        <v>640</v>
      </c>
      <c r="O28" s="1314" t="s">
        <v>641</v>
      </c>
      <c r="P28" s="1314"/>
      <c r="Q28" s="1314"/>
      <c r="R28" s="1314"/>
      <c r="S28" s="1314"/>
      <c r="T28" s="1314"/>
      <c r="U28" s="1314"/>
      <c r="V28" s="1314"/>
      <c r="W28" s="1314"/>
      <c r="Y28" s="1034" t="s">
        <v>640</v>
      </c>
      <c r="Z28" s="1316" t="s">
        <v>642</v>
      </c>
      <c r="AA28" s="1316"/>
      <c r="AB28" s="1316"/>
      <c r="AC28" s="1316"/>
      <c r="AD28" s="1316"/>
    </row>
    <row r="29" spans="1:31">
      <c r="N29" s="1034" t="s">
        <v>643</v>
      </c>
      <c r="O29" s="1314" t="s">
        <v>644</v>
      </c>
      <c r="P29" s="1314"/>
      <c r="Q29" s="1314"/>
      <c r="R29" s="1314"/>
      <c r="S29" s="1314"/>
      <c r="T29" s="1314"/>
      <c r="U29" s="1314"/>
      <c r="V29" s="1314"/>
      <c r="W29" s="1314"/>
      <c r="Y29" s="1034" t="s">
        <v>645</v>
      </c>
      <c r="Z29" s="1316" t="s">
        <v>888</v>
      </c>
      <c r="AA29" s="1316"/>
      <c r="AB29" s="1316"/>
      <c r="AC29" s="1316"/>
      <c r="AD29" s="1316"/>
    </row>
    <row r="30" spans="1:31">
      <c r="N30" s="1034" t="s">
        <v>646</v>
      </c>
      <c r="O30" s="1314" t="s">
        <v>647</v>
      </c>
      <c r="P30" s="1314"/>
      <c r="Q30" s="1314"/>
      <c r="R30" s="1314"/>
      <c r="S30" s="1314"/>
      <c r="T30" s="1314"/>
      <c r="U30" s="1314"/>
      <c r="V30" s="1314"/>
      <c r="W30" s="1314"/>
      <c r="Y30" s="1034" t="s">
        <v>648</v>
      </c>
      <c r="Z30" s="1316" t="s">
        <v>889</v>
      </c>
      <c r="AA30" s="1316"/>
      <c r="AB30" s="1316"/>
      <c r="AC30" s="1316"/>
      <c r="AD30" s="1316"/>
    </row>
    <row r="31" spans="1:31">
      <c r="N31" s="1034" t="s">
        <v>731</v>
      </c>
      <c r="O31" s="1314" t="s">
        <v>732</v>
      </c>
      <c r="P31" s="1314"/>
      <c r="Q31" s="1314"/>
      <c r="R31" s="1314"/>
      <c r="S31" s="1314"/>
      <c r="T31" s="1314"/>
      <c r="U31" s="1314"/>
      <c r="V31" s="1314"/>
      <c r="W31" s="1314"/>
      <c r="Y31" s="1034" t="s">
        <v>643</v>
      </c>
      <c r="Z31" s="1316" t="s">
        <v>644</v>
      </c>
      <c r="AA31" s="1316"/>
      <c r="AB31" s="1316"/>
      <c r="AC31" s="1316"/>
      <c r="AD31" s="1316"/>
    </row>
    <row r="32" spans="1:31">
      <c r="N32" s="1034" t="s">
        <v>649</v>
      </c>
      <c r="O32" s="1314" t="s">
        <v>650</v>
      </c>
      <c r="P32" s="1314"/>
      <c r="Q32" s="1314"/>
      <c r="R32" s="1314"/>
      <c r="S32" s="1314"/>
      <c r="T32" s="1314"/>
      <c r="U32" s="1314"/>
      <c r="V32" s="1314"/>
      <c r="W32" s="1314"/>
      <c r="Y32" s="1034" t="s">
        <v>646</v>
      </c>
      <c r="Z32" s="1316" t="s">
        <v>647</v>
      </c>
      <c r="AA32" s="1316"/>
      <c r="AB32" s="1316"/>
      <c r="AC32" s="1316"/>
      <c r="AD32" s="1316"/>
    </row>
    <row r="33" spans="14:30">
      <c r="N33" s="1034" t="s">
        <v>651</v>
      </c>
      <c r="O33" s="1314" t="s">
        <v>652</v>
      </c>
      <c r="P33" s="1314"/>
      <c r="Q33" s="1314"/>
      <c r="R33" s="1314"/>
      <c r="S33" s="1314"/>
      <c r="T33" s="1314"/>
      <c r="U33" s="1314"/>
      <c r="V33" s="1314"/>
      <c r="W33" s="1314"/>
      <c r="Y33" s="1034" t="s">
        <v>653</v>
      </c>
      <c r="Z33" s="1316" t="s">
        <v>654</v>
      </c>
      <c r="AA33" s="1316"/>
      <c r="AB33" s="1316"/>
      <c r="AC33" s="1316"/>
      <c r="AD33" s="1316"/>
    </row>
    <row r="34" spans="14:30">
      <c r="N34" s="1034" t="s">
        <v>645</v>
      </c>
      <c r="O34" s="1314" t="s">
        <v>886</v>
      </c>
      <c r="P34" s="1314"/>
      <c r="Q34" s="1314"/>
      <c r="R34" s="1314"/>
      <c r="S34" s="1314"/>
      <c r="T34" s="1314"/>
      <c r="U34" s="1314"/>
      <c r="V34" s="1314"/>
      <c r="W34" s="1314"/>
      <c r="Y34" s="1034" t="s">
        <v>655</v>
      </c>
      <c r="Z34" s="1316" t="s">
        <v>656</v>
      </c>
      <c r="AA34" s="1316"/>
      <c r="AB34" s="1316"/>
      <c r="AC34" s="1316"/>
      <c r="AD34" s="1316"/>
    </row>
    <row r="35" spans="14:30">
      <c r="N35" s="1034" t="s">
        <v>648</v>
      </c>
      <c r="O35" s="1314" t="s">
        <v>887</v>
      </c>
      <c r="P35" s="1314"/>
      <c r="Q35" s="1314"/>
      <c r="R35" s="1314"/>
      <c r="S35" s="1314"/>
      <c r="T35" s="1314"/>
      <c r="U35" s="1314"/>
      <c r="V35" s="1314"/>
      <c r="W35" s="1314"/>
      <c r="Y35" s="1034" t="s">
        <v>658</v>
      </c>
      <c r="Z35" s="1316" t="s">
        <v>659</v>
      </c>
      <c r="AA35" s="1316"/>
      <c r="AB35" s="1316"/>
      <c r="AC35" s="1316"/>
      <c r="AD35" s="1316"/>
    </row>
    <row r="36" spans="14:30">
      <c r="N36" s="1034" t="s">
        <v>653</v>
      </c>
      <c r="O36" s="1314" t="s">
        <v>657</v>
      </c>
      <c r="P36" s="1314"/>
      <c r="Q36" s="1314"/>
      <c r="R36" s="1314"/>
      <c r="S36" s="1314"/>
      <c r="T36" s="1314"/>
      <c r="U36" s="1314"/>
      <c r="V36" s="1314"/>
      <c r="W36" s="1314"/>
      <c r="Y36" s="1034" t="s">
        <v>649</v>
      </c>
      <c r="Z36" s="1316" t="s">
        <v>650</v>
      </c>
      <c r="AA36" s="1316"/>
      <c r="AB36" s="1316"/>
      <c r="AC36" s="1316"/>
      <c r="AD36" s="1316"/>
    </row>
    <row r="37" spans="14:30">
      <c r="N37" s="1034" t="s">
        <v>660</v>
      </c>
      <c r="O37" s="1314" t="s">
        <v>661</v>
      </c>
      <c r="P37" s="1314"/>
      <c r="Q37" s="1314"/>
      <c r="R37" s="1314"/>
      <c r="S37" s="1314"/>
      <c r="T37" s="1314"/>
      <c r="U37" s="1314"/>
      <c r="V37" s="1314"/>
      <c r="W37" s="1314"/>
      <c r="Y37" s="1035" t="s">
        <v>651</v>
      </c>
      <c r="Z37" s="1317" t="s">
        <v>652</v>
      </c>
      <c r="AA37" s="1317"/>
      <c r="AB37" s="1317"/>
      <c r="AC37" s="1317"/>
      <c r="AD37" s="1317"/>
    </row>
    <row r="38" spans="14:30">
      <c r="N38" s="1034" t="s">
        <v>655</v>
      </c>
      <c r="O38" s="1314" t="s">
        <v>662</v>
      </c>
      <c r="P38" s="1314"/>
      <c r="Q38" s="1314"/>
      <c r="R38" s="1314"/>
      <c r="S38" s="1314"/>
      <c r="T38" s="1314"/>
      <c r="U38" s="1314"/>
      <c r="V38" s="1314"/>
      <c r="W38" s="1314"/>
    </row>
    <row r="39" spans="14:30">
      <c r="N39" s="1035" t="s">
        <v>658</v>
      </c>
      <c r="O39" s="1315" t="s">
        <v>663</v>
      </c>
      <c r="P39" s="1315"/>
      <c r="Q39" s="1315"/>
      <c r="R39" s="1315"/>
      <c r="S39" s="1315"/>
      <c r="T39" s="1315"/>
      <c r="U39" s="1315"/>
      <c r="V39" s="1315"/>
      <c r="W39" s="1315"/>
    </row>
  </sheetData>
  <sheetProtection algorithmName="SHA-512" hashValue="lxzjJR3YEXvJTxJo12ZfRzwKzumyc7dPfOV/TdCoUNECULWPpjkLq41wjBSy+GQxheQvjeXjZVCKRyItzo06SA==" saltValue="xqsnB07bjbk8Wk/IIIbCxw=="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419</v>
      </c>
    </row>
    <row r="9" spans="2:2">
      <c r="B9" s="470"/>
    </row>
    <row r="10" spans="2:2">
      <c r="B10" s="467"/>
    </row>
    <row r="11" spans="2:2" ht="25.5">
      <c r="B11" s="1159" t="s">
        <v>420</v>
      </c>
    </row>
    <row r="12" spans="2:2">
      <c r="B12" s="1160"/>
    </row>
    <row r="13" spans="2:2" ht="76.5">
      <c r="B13" s="1160" t="s">
        <v>421</v>
      </c>
    </row>
    <row r="14" spans="2:2">
      <c r="B14" s="1160"/>
    </row>
    <row r="15" spans="2:2" ht="51">
      <c r="B15" s="1160" t="s">
        <v>422</v>
      </c>
    </row>
    <row r="16" spans="2:2">
      <c r="B16" s="1160"/>
    </row>
    <row r="17" spans="2:2" ht="51">
      <c r="B17" s="1161" t="s">
        <v>423</v>
      </c>
    </row>
  </sheetData>
  <sheetProtection algorithmName="SHA-512" hashValue="VmwZWAxmUgflib4rpWT7tYR3T2LlenMSCqV2G0NgcnPnT1fhAZWjpbBNeTQyk+aTy2yQfV7jgq+srzbfmN+KGw==" saltValue="cXIMeJdrnYGJ7fiU65aof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AI15" sqref="AI1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VALENCIA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c r="BO5" s="1239"/>
      <c r="BP5" s="1238"/>
      <c r="BQ5" s="1239"/>
      <c r="BR5" s="1238"/>
      <c r="BS5" s="1239"/>
      <c r="BT5" s="1238"/>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752</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473" t="s">
        <v>751</v>
      </c>
      <c r="ER8" s="473">
        <v>148</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t="s">
        <v>807</v>
      </c>
      <c r="J9" s="184" t="s">
        <v>801</v>
      </c>
      <c r="K9" s="184" t="s">
        <v>852</v>
      </c>
      <c r="L9" s="184" t="s">
        <v>812</v>
      </c>
      <c r="M9" s="184" t="s">
        <v>490</v>
      </c>
      <c r="N9" s="184" t="s">
        <v>505</v>
      </c>
      <c r="O9" s="184" t="s">
        <v>224</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800</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875</v>
      </c>
      <c r="EP9" s="1000"/>
      <c r="EQ9" s="1000"/>
      <c r="ER9" s="1003">
        <v>1200</v>
      </c>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v>9</v>
      </c>
      <c r="J10" s="184">
        <v>17</v>
      </c>
      <c r="K10" s="184">
        <v>16</v>
      </c>
      <c r="L10" s="184">
        <v>10</v>
      </c>
      <c r="M10" s="184">
        <v>15</v>
      </c>
      <c r="N10" s="184">
        <v>1</v>
      </c>
      <c r="O10" s="184">
        <v>3</v>
      </c>
      <c r="P10" s="184">
        <v>6</v>
      </c>
      <c r="Q10" s="184">
        <v>6</v>
      </c>
      <c r="R10" s="184">
        <v>18</v>
      </c>
      <c r="S10" s="184">
        <v>15</v>
      </c>
      <c r="T10" s="184">
        <v>28</v>
      </c>
      <c r="U10" s="184">
        <v>34</v>
      </c>
      <c r="V10" s="184">
        <v>9</v>
      </c>
      <c r="W10" s="184">
        <v>17</v>
      </c>
      <c r="X10" s="191">
        <v>0</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794</v>
      </c>
      <c r="AT10" s="195"/>
      <c r="AU10" s="203"/>
      <c r="AV10" s="195"/>
      <c r="AW10" s="203"/>
      <c r="AX10" s="195"/>
      <c r="AY10" s="128">
        <f t="shared" ref="AY10:BC10" si="0">IF(ISNUMBER(S10),S10," - ")</f>
        <v>15</v>
      </c>
      <c r="AZ10" s="129">
        <f t="shared" si="0"/>
        <v>28</v>
      </c>
      <c r="BA10" s="129">
        <f t="shared" si="0"/>
        <v>34</v>
      </c>
      <c r="BB10" s="129">
        <f t="shared" si="0"/>
        <v>9</v>
      </c>
      <c r="BC10" s="125">
        <f t="shared" si="0"/>
        <v>17</v>
      </c>
      <c r="BD10" s="126">
        <f>IF(ISNUMBER(BA10/AZ10),BA10/AZ10," - ")</f>
        <v>1.2142857142857142</v>
      </c>
      <c r="BE10" s="127">
        <f>IF(ISNUMBER(BB10/BA10),BB10/BA10, " - ")</f>
        <v>0.26470588235294118</v>
      </c>
      <c r="BF10" s="127">
        <f>IF(ISNUMBER(BC10/BA10),BC10/BA10, " - ")</f>
        <v>0.5</v>
      </c>
      <c r="BG10" s="199">
        <f>IF(ISNUMBER((AY10+AZ10)/BA10),(AY10+AZ10)/BA10," - ")</f>
        <v>1.2647058823529411</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768</v>
      </c>
      <c r="EP10" s="342"/>
      <c r="EQ10" s="342"/>
      <c r="ER10" s="1004">
        <v>1600</v>
      </c>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t="s">
        <v>807</v>
      </c>
      <c r="J11" s="186" t="s">
        <v>801</v>
      </c>
      <c r="K11" s="186" t="s">
        <v>852</v>
      </c>
      <c r="L11" s="186" t="s">
        <v>812</v>
      </c>
      <c r="M11" s="186" t="s">
        <v>490</v>
      </c>
      <c r="N11" s="186" t="s">
        <v>505</v>
      </c>
      <c r="O11" s="184" t="s">
        <v>224</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802</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876</v>
      </c>
      <c r="EP11" s="1001"/>
      <c r="EQ11" s="1001"/>
      <c r="ER11" s="1005">
        <v>1323</v>
      </c>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v>1335</v>
      </c>
      <c r="J12" s="186">
        <v>2898</v>
      </c>
      <c r="K12" s="186">
        <v>2432</v>
      </c>
      <c r="L12" s="186">
        <v>1801</v>
      </c>
      <c r="M12" s="186">
        <v>589</v>
      </c>
      <c r="N12" s="186">
        <v>1086</v>
      </c>
      <c r="O12" s="184">
        <v>1272</v>
      </c>
      <c r="P12" s="186">
        <v>641</v>
      </c>
      <c r="Q12" s="186">
        <v>276</v>
      </c>
      <c r="R12" s="186">
        <v>3453</v>
      </c>
      <c r="S12" s="186">
        <v>1226</v>
      </c>
      <c r="T12" s="186">
        <v>2819</v>
      </c>
      <c r="U12" s="186">
        <v>2710</v>
      </c>
      <c r="V12" s="186">
        <v>1335</v>
      </c>
      <c r="W12" s="186">
        <v>730</v>
      </c>
      <c r="X12" s="192">
        <v>1163</v>
      </c>
      <c r="Y12" s="194">
        <v>115</v>
      </c>
      <c r="Z12" s="184">
        <v>358</v>
      </c>
      <c r="AA12" s="184">
        <v>346</v>
      </c>
      <c r="AB12" s="184">
        <v>127</v>
      </c>
      <c r="AC12" s="186">
        <v>0</v>
      </c>
      <c r="AD12" s="186">
        <v>0</v>
      </c>
      <c r="AE12" s="186">
        <v>0</v>
      </c>
      <c r="AF12" s="192">
        <v>0</v>
      </c>
      <c r="AG12" s="205">
        <v>115</v>
      </c>
      <c r="AH12" s="186">
        <v>475</v>
      </c>
      <c r="AI12" s="186">
        <v>475</v>
      </c>
      <c r="AJ12" s="206">
        <v>115</v>
      </c>
      <c r="AK12" s="185">
        <v>0</v>
      </c>
      <c r="AL12" s="186">
        <v>0</v>
      </c>
      <c r="AM12" s="186">
        <v>0</v>
      </c>
      <c r="AN12" s="192">
        <v>0</v>
      </c>
      <c r="AO12" s="262">
        <v>4</v>
      </c>
      <c r="AP12" s="158">
        <v>4</v>
      </c>
      <c r="AQ12" s="158">
        <v>4</v>
      </c>
      <c r="AR12" s="157">
        <v>4</v>
      </c>
      <c r="AS12" s="343" t="s">
        <v>803</v>
      </c>
      <c r="AT12" s="206"/>
      <c r="AU12" s="205"/>
      <c r="AV12" s="206"/>
      <c r="AW12" s="205"/>
      <c r="AX12" s="206"/>
      <c r="AY12" s="126">
        <f t="shared" si="1"/>
        <v>1341</v>
      </c>
      <c r="AZ12" s="127">
        <f t="shared" si="1"/>
        <v>3294</v>
      </c>
      <c r="BA12" s="127">
        <f t="shared" si="1"/>
        <v>3185</v>
      </c>
      <c r="BB12" s="127">
        <f t="shared" si="1"/>
        <v>1450</v>
      </c>
      <c r="BC12" s="125">
        <f>IF(ISNUMBER(X12),X12," - ")</f>
        <v>1163</v>
      </c>
      <c r="BD12" s="126">
        <f t="shared" si="2"/>
        <v>0.96690953248330302</v>
      </c>
      <c r="BE12" s="127">
        <f t="shared" si="3"/>
        <v>0.4552590266875981</v>
      </c>
      <c r="BF12" s="127">
        <f t="shared" si="4"/>
        <v>0.36514913657770803</v>
      </c>
      <c r="BG12" s="199">
        <f t="shared" si="5"/>
        <v>1.4552590266875982</v>
      </c>
      <c r="BH12" s="158">
        <v>4</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877</v>
      </c>
      <c r="EP12" s="1002"/>
      <c r="EQ12" s="1002"/>
      <c r="ER12" s="1003">
        <v>680</v>
      </c>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6">SUBTOTAL(9,I8:I12)</f>
        <v>1344</v>
      </c>
      <c r="J13" s="187">
        <f t="shared" si="6"/>
        <v>2915</v>
      </c>
      <c r="K13" s="187">
        <f t="shared" si="6"/>
        <v>2448</v>
      </c>
      <c r="L13" s="187">
        <f t="shared" si="6"/>
        <v>1811</v>
      </c>
      <c r="M13" s="187">
        <f t="shared" si="6"/>
        <v>604</v>
      </c>
      <c r="N13" s="187">
        <f t="shared" si="6"/>
        <v>1087</v>
      </c>
      <c r="O13" s="187">
        <f t="shared" si="6"/>
        <v>1275</v>
      </c>
      <c r="P13" s="187">
        <f t="shared" si="6"/>
        <v>647</v>
      </c>
      <c r="Q13" s="187">
        <f t="shared" si="6"/>
        <v>282</v>
      </c>
      <c r="R13" s="187">
        <f t="shared" si="6"/>
        <v>3471</v>
      </c>
      <c r="S13" s="187">
        <f t="shared" si="6"/>
        <v>1241</v>
      </c>
      <c r="T13" s="187">
        <f t="shared" si="6"/>
        <v>2847</v>
      </c>
      <c r="U13" s="187">
        <f t="shared" si="6"/>
        <v>2744</v>
      </c>
      <c r="V13" s="187">
        <f t="shared" si="6"/>
        <v>1344</v>
      </c>
      <c r="W13" s="187">
        <f t="shared" si="6"/>
        <v>747</v>
      </c>
      <c r="X13" s="187">
        <f t="shared" si="6"/>
        <v>1163</v>
      </c>
      <c r="Y13" s="187">
        <f t="shared" si="6"/>
        <v>115</v>
      </c>
      <c r="Z13" s="187">
        <f t="shared" si="6"/>
        <v>358</v>
      </c>
      <c r="AA13" s="187">
        <f t="shared" si="6"/>
        <v>346</v>
      </c>
      <c r="AB13" s="187">
        <f t="shared" si="6"/>
        <v>127</v>
      </c>
      <c r="AC13" s="187">
        <f t="shared" si="6"/>
        <v>0</v>
      </c>
      <c r="AD13" s="187">
        <f t="shared" si="6"/>
        <v>0</v>
      </c>
      <c r="AE13" s="187">
        <f t="shared" si="6"/>
        <v>0</v>
      </c>
      <c r="AF13" s="187">
        <f>SUBTOTAL(9,AF9:AF12)</f>
        <v>0</v>
      </c>
      <c r="AG13" s="187">
        <f t="shared" ref="AG13:AT13" si="7">SUBTOTAL(9,AG8:AG12)</f>
        <v>115</v>
      </c>
      <c r="AH13" s="187">
        <f t="shared" si="7"/>
        <v>475</v>
      </c>
      <c r="AI13" s="187">
        <f t="shared" si="7"/>
        <v>475</v>
      </c>
      <c r="AJ13" s="187">
        <f t="shared" si="7"/>
        <v>115</v>
      </c>
      <c r="AK13" s="187">
        <f t="shared" si="7"/>
        <v>0</v>
      </c>
      <c r="AL13" s="187">
        <f t="shared" si="7"/>
        <v>0</v>
      </c>
      <c r="AM13" s="187">
        <f t="shared" si="7"/>
        <v>0</v>
      </c>
      <c r="AN13" s="187">
        <f t="shared" si="7"/>
        <v>0</v>
      </c>
      <c r="AO13" s="187">
        <f t="shared" si="7"/>
        <v>5</v>
      </c>
      <c r="AP13" s="187">
        <f t="shared" si="7"/>
        <v>4</v>
      </c>
      <c r="AQ13" s="187">
        <f t="shared" si="7"/>
        <v>4</v>
      </c>
      <c r="AR13" s="187">
        <f t="shared" si="7"/>
        <v>4</v>
      </c>
      <c r="AS13" s="187">
        <f t="shared" si="7"/>
        <v>0</v>
      </c>
      <c r="AT13" s="187">
        <f t="shared" si="7"/>
        <v>0</v>
      </c>
      <c r="AU13" s="207"/>
      <c r="AV13" s="132"/>
      <c r="AW13" s="207"/>
      <c r="AX13" s="132"/>
      <c r="AY13" s="187">
        <f>SUBTOTAL(9,AY8:AY12)</f>
        <v>1356</v>
      </c>
      <c r="AZ13" s="187">
        <f>SUBTOTAL(9,AZ8:AZ12)</f>
        <v>3322</v>
      </c>
      <c r="BA13" s="187">
        <f>SUBTOTAL(9,BA8:BA12)</f>
        <v>3219</v>
      </c>
      <c r="BB13" s="187">
        <f>SUBTOTAL(9,BB8:BB12)</f>
        <v>1459</v>
      </c>
      <c r="BC13" s="187">
        <f>SUBTOTAL(9,BC8:BC12)</f>
        <v>1180</v>
      </c>
      <c r="BD13" s="208">
        <f>IF(ISNUMBER(BA13/AZ13),BA13/AZ13," - ")</f>
        <v>0.96899458157736307</v>
      </c>
      <c r="BE13" s="209">
        <f>IF(ISNUMBER(BB13/BA13),BB13/BA13, " - ")</f>
        <v>0.45324634979807393</v>
      </c>
      <c r="BF13" s="209">
        <f>IF(ISNUMBER(BC13/BA13),BC13/BA13, " - ")</f>
        <v>0.3665734700217459</v>
      </c>
      <c r="BG13" s="210">
        <f>IF(ISNUMBER((AY13+AZ13)/BA13),(AY13+AZ13)/BA13," - ")</f>
        <v>1.4532463497980739</v>
      </c>
      <c r="BH13" s="143">
        <f>SUBTOTAL(9,BH8:BH12)</f>
        <v>5</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t="s">
        <v>488</v>
      </c>
      <c r="J15" s="186" t="s">
        <v>484</v>
      </c>
      <c r="K15" s="186" t="s">
        <v>485</v>
      </c>
      <c r="L15" s="186" t="s">
        <v>486</v>
      </c>
      <c r="M15" s="186" t="s">
        <v>491</v>
      </c>
      <c r="N15" s="186" t="s">
        <v>150</v>
      </c>
      <c r="O15" s="184" t="s">
        <v>225</v>
      </c>
      <c r="P15" s="186" t="s">
        <v>470</v>
      </c>
      <c r="Q15" s="186" t="s">
        <v>471</v>
      </c>
      <c r="R15" s="186" t="s">
        <v>472</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527</v>
      </c>
      <c r="AT15" s="206" t="s">
        <v>326</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804</v>
      </c>
      <c r="EP15" s="1001"/>
      <c r="EQ15" s="1001"/>
      <c r="ER15" s="1005">
        <v>3300</v>
      </c>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v>1182</v>
      </c>
      <c r="J16" s="186">
        <v>3138</v>
      </c>
      <c r="K16" s="186">
        <v>2942</v>
      </c>
      <c r="L16" s="186">
        <v>1379</v>
      </c>
      <c r="M16" s="186">
        <v>526</v>
      </c>
      <c r="N16" s="186">
        <v>1869</v>
      </c>
      <c r="O16" s="184">
        <v>53</v>
      </c>
      <c r="P16" s="186">
        <v>112</v>
      </c>
      <c r="Q16" s="186">
        <v>124</v>
      </c>
      <c r="R16" s="186">
        <v>136</v>
      </c>
      <c r="S16" s="186">
        <v>1124</v>
      </c>
      <c r="T16" s="186">
        <v>3176</v>
      </c>
      <c r="U16" s="186">
        <v>3118</v>
      </c>
      <c r="V16" s="186">
        <v>1182</v>
      </c>
      <c r="W16" s="186">
        <v>588</v>
      </c>
      <c r="X16" s="192">
        <v>1949</v>
      </c>
      <c r="Y16" s="205">
        <v>0</v>
      </c>
      <c r="Z16" s="186">
        <v>0</v>
      </c>
      <c r="AA16" s="186">
        <v>0</v>
      </c>
      <c r="AB16" s="186">
        <v>0</v>
      </c>
      <c r="AC16" s="186">
        <v>0</v>
      </c>
      <c r="AD16" s="186">
        <v>40</v>
      </c>
      <c r="AE16" s="186">
        <v>37</v>
      </c>
      <c r="AF16" s="192">
        <v>3</v>
      </c>
      <c r="AG16" s="205">
        <v>0</v>
      </c>
      <c r="AH16" s="186">
        <v>0</v>
      </c>
      <c r="AI16" s="186">
        <v>0</v>
      </c>
      <c r="AJ16" s="206">
        <v>0</v>
      </c>
      <c r="AK16" s="185">
        <v>0</v>
      </c>
      <c r="AL16" s="186">
        <v>31</v>
      </c>
      <c r="AM16" s="186">
        <v>31</v>
      </c>
      <c r="AN16" s="192">
        <v>0</v>
      </c>
      <c r="AO16" s="262">
        <v>4</v>
      </c>
      <c r="AP16" s="158">
        <v>4</v>
      </c>
      <c r="AQ16" s="158">
        <v>4</v>
      </c>
      <c r="AR16" s="158">
        <v>4</v>
      </c>
      <c r="AS16" s="343" t="s">
        <v>487</v>
      </c>
      <c r="AT16" s="206"/>
      <c r="AU16" s="205"/>
      <c r="AV16" s="206"/>
      <c r="AW16" s="205"/>
      <c r="AX16" s="206"/>
      <c r="AY16" s="126">
        <f t="shared" si="9"/>
        <v>1124</v>
      </c>
      <c r="AZ16" s="127">
        <f t="shared" si="9"/>
        <v>3176</v>
      </c>
      <c r="BA16" s="127">
        <f t="shared" si="9"/>
        <v>3118</v>
      </c>
      <c r="BB16" s="127">
        <f t="shared" si="9"/>
        <v>1182</v>
      </c>
      <c r="BC16" s="125">
        <f>IF(ISNUMBER(W16),W16," - ")</f>
        <v>588</v>
      </c>
      <c r="BD16" s="126">
        <f t="shared" ref="BD16" si="11">IF(ISNUMBER(BA16/AZ16),BA16/AZ16," - ")</f>
        <v>0.98173803526448367</v>
      </c>
      <c r="BE16" s="127">
        <f t="shared" ref="BE16" si="12">IF(ISNUMBER(BB16/BA16),BB16/BA16, " - ")</f>
        <v>0.3790891597177678</v>
      </c>
      <c r="BF16" s="127">
        <f t="shared" ref="BF16" si="13">IF(ISNUMBER(BC16/BA16),BC16/BA16, " - ")</f>
        <v>0.18858242463117383</v>
      </c>
      <c r="BG16" s="199">
        <f t="shared" si="10"/>
        <v>1.3790891597177679</v>
      </c>
      <c r="BH16" s="158">
        <v>4</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774</v>
      </c>
      <c r="EP16" s="1001"/>
      <c r="EQ16" s="1001"/>
      <c r="ER16" s="1005">
        <v>1000</v>
      </c>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v>66</v>
      </c>
      <c r="J17" s="186">
        <v>43</v>
      </c>
      <c r="K17" s="186">
        <v>80</v>
      </c>
      <c r="L17" s="186">
        <v>29</v>
      </c>
      <c r="M17" s="186">
        <v>15</v>
      </c>
      <c r="N17" s="186">
        <v>55</v>
      </c>
      <c r="O17" s="186">
        <v>0</v>
      </c>
      <c r="P17" s="186">
        <v>3</v>
      </c>
      <c r="Q17" s="186">
        <v>2</v>
      </c>
      <c r="R17" s="186">
        <v>3</v>
      </c>
      <c r="S17" s="186">
        <v>36</v>
      </c>
      <c r="T17" s="186">
        <v>238</v>
      </c>
      <c r="U17" s="186">
        <v>208</v>
      </c>
      <c r="V17" s="186">
        <v>66</v>
      </c>
      <c r="W17" s="186">
        <v>40</v>
      </c>
      <c r="X17" s="192">
        <v>145</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793</v>
      </c>
      <c r="AT17" s="212"/>
      <c r="AU17" s="203"/>
      <c r="AV17" s="212"/>
      <c r="AW17" s="203"/>
      <c r="AX17" s="212"/>
      <c r="AY17" s="128">
        <f t="shared" ref="AY17:BB17" si="14">IF(ISNUMBER(S17),S17," - ")</f>
        <v>36</v>
      </c>
      <c r="AZ17" s="129">
        <f t="shared" si="14"/>
        <v>238</v>
      </c>
      <c r="BA17" s="129">
        <f t="shared" si="14"/>
        <v>208</v>
      </c>
      <c r="BB17" s="129">
        <f t="shared" si="14"/>
        <v>66</v>
      </c>
      <c r="BC17" s="125">
        <f>IF(ISNUMBER(W17),W17," - ")</f>
        <v>40</v>
      </c>
      <c r="BD17" s="126">
        <f>IF(ISNUMBER(BA17/AZ17),BA17/AZ17," - ")</f>
        <v>0.87394957983193278</v>
      </c>
      <c r="BE17" s="127">
        <f>IF(ISNUMBER(BB17/BA17),BB17/BA17, " - ")</f>
        <v>0.31730769230769229</v>
      </c>
      <c r="BF17" s="127">
        <f>IF(ISNUMBER(BC17/BA17),BC17/BA17, " - ")</f>
        <v>0.19230769230769232</v>
      </c>
      <c r="BG17" s="199">
        <f>IF(ISNUMBER((AY17+AZ17)/BA17),(AY17+AZ17)/BA17," - ")</f>
        <v>1.3173076923076923</v>
      </c>
      <c r="BH17" s="158">
        <v>1</v>
      </c>
      <c r="BI17" s="158"/>
      <c r="BJ17" s="203"/>
      <c r="BK17" s="157"/>
      <c r="BL17" s="157"/>
      <c r="BM17" s="157">
        <v>1800</v>
      </c>
      <c r="BN17" s="157"/>
      <c r="BO17" s="157"/>
      <c r="BP17" s="157"/>
      <c r="BQ17" s="157"/>
      <c r="BR17" s="157"/>
      <c r="BS17" s="157"/>
      <c r="BT17" s="157"/>
      <c r="BU17" s="157"/>
      <c r="BV17" s="157"/>
      <c r="BW17" s="157"/>
      <c r="BX17" s="157"/>
      <c r="BY17" s="177" t="s">
        <v>729</v>
      </c>
      <c r="BZ17" s="177" t="s">
        <v>730</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775</v>
      </c>
      <c r="EP17" s="342"/>
      <c r="EQ17" s="342"/>
      <c r="ER17" s="1004">
        <v>1600</v>
      </c>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15">SUBTOTAL(9,I14:I17)</f>
        <v>1248</v>
      </c>
      <c r="J18" s="187">
        <f t="shared" si="15"/>
        <v>3181</v>
      </c>
      <c r="K18" s="187">
        <f t="shared" si="15"/>
        <v>3022</v>
      </c>
      <c r="L18" s="187">
        <f t="shared" si="15"/>
        <v>1408</v>
      </c>
      <c r="M18" s="187">
        <f t="shared" si="15"/>
        <v>541</v>
      </c>
      <c r="N18" s="187">
        <f t="shared" si="15"/>
        <v>1924</v>
      </c>
      <c r="O18" s="187">
        <f t="shared" si="15"/>
        <v>53</v>
      </c>
      <c r="P18" s="187">
        <f t="shared" si="15"/>
        <v>115</v>
      </c>
      <c r="Q18" s="187">
        <f t="shared" si="15"/>
        <v>126</v>
      </c>
      <c r="R18" s="187">
        <f t="shared" si="15"/>
        <v>139</v>
      </c>
      <c r="S18" s="187">
        <f t="shared" si="15"/>
        <v>1160</v>
      </c>
      <c r="T18" s="187">
        <f t="shared" si="15"/>
        <v>3414</v>
      </c>
      <c r="U18" s="187">
        <f t="shared" si="15"/>
        <v>3326</v>
      </c>
      <c r="V18" s="187">
        <f t="shared" si="15"/>
        <v>1248</v>
      </c>
      <c r="W18" s="187">
        <f t="shared" si="15"/>
        <v>628</v>
      </c>
      <c r="X18" s="187">
        <f t="shared" si="15"/>
        <v>2094</v>
      </c>
      <c r="Y18" s="187">
        <f t="shared" si="15"/>
        <v>0</v>
      </c>
      <c r="Z18" s="187">
        <f t="shared" si="15"/>
        <v>0</v>
      </c>
      <c r="AA18" s="187">
        <f t="shared" si="15"/>
        <v>0</v>
      </c>
      <c r="AB18" s="187">
        <f t="shared" si="15"/>
        <v>0</v>
      </c>
      <c r="AC18" s="187">
        <f t="shared" si="15"/>
        <v>0</v>
      </c>
      <c r="AD18" s="187">
        <f t="shared" si="15"/>
        <v>40</v>
      </c>
      <c r="AE18" s="187">
        <f t="shared" si="15"/>
        <v>37</v>
      </c>
      <c r="AF18" s="187">
        <f t="shared" si="15"/>
        <v>3</v>
      </c>
      <c r="AG18" s="187">
        <f t="shared" si="15"/>
        <v>0</v>
      </c>
      <c r="AH18" s="187">
        <f t="shared" si="15"/>
        <v>0</v>
      </c>
      <c r="AI18" s="187">
        <f t="shared" si="15"/>
        <v>0</v>
      </c>
      <c r="AJ18" s="187">
        <f t="shared" si="15"/>
        <v>0</v>
      </c>
      <c r="AK18" s="187">
        <f t="shared" si="15"/>
        <v>0</v>
      </c>
      <c r="AL18" s="187">
        <f t="shared" si="15"/>
        <v>31</v>
      </c>
      <c r="AM18" s="187">
        <f t="shared" si="15"/>
        <v>31</v>
      </c>
      <c r="AN18" s="187">
        <f t="shared" si="15"/>
        <v>0</v>
      </c>
      <c r="AO18" s="187">
        <f t="shared" si="15"/>
        <v>5</v>
      </c>
      <c r="AP18" s="187">
        <f t="shared" si="15"/>
        <v>4</v>
      </c>
      <c r="AQ18" s="187">
        <f t="shared" si="15"/>
        <v>4</v>
      </c>
      <c r="AR18" s="187">
        <f t="shared" si="15"/>
        <v>4</v>
      </c>
      <c r="AS18" s="187">
        <f t="shared" si="15"/>
        <v>0</v>
      </c>
      <c r="AT18" s="187">
        <f t="shared" si="15"/>
        <v>0</v>
      </c>
      <c r="AU18" s="207"/>
      <c r="AV18" s="132"/>
      <c r="AW18" s="207"/>
      <c r="AX18" s="132"/>
      <c r="AY18" s="187">
        <f>SUBTOTAL(9,AY14:AY17)</f>
        <v>1160</v>
      </c>
      <c r="AZ18" s="187">
        <f>SUBTOTAL(9,AZ14:AZ17)</f>
        <v>3414</v>
      </c>
      <c r="BA18" s="187">
        <f>SUBTOTAL(9,BA14:BA17)</f>
        <v>3326</v>
      </c>
      <c r="BB18" s="187">
        <f>SUBTOTAL(9,BB14:BB17)</f>
        <v>1248</v>
      </c>
      <c r="BC18" s="187">
        <f>SUBTOTAL(9,BC14:BC17)</f>
        <v>628</v>
      </c>
      <c r="BD18" s="208">
        <f>IF(ISNUMBER(BA18/AZ18),BA18/AZ18," - ")</f>
        <v>0.974223784417106</v>
      </c>
      <c r="BE18" s="209">
        <f>IF(ISNUMBER(BB18/BA18),BB18/BA18, " - ")</f>
        <v>0.3752254960914011</v>
      </c>
      <c r="BF18" s="209">
        <f>IF(ISNUMBER(BC18/BA18),BC18/BA18, " - ")</f>
        <v>0.18881539386650631</v>
      </c>
      <c r="BG18" s="210">
        <f>IF(ISNUMBER((AY18+AZ18)/BA18),(AY18+AZ18)/BA18," - ")</f>
        <v>1.375225496091401</v>
      </c>
      <c r="BH18" s="187">
        <f>SUBTOTAL(9,BH14:BH17)</f>
        <v>5</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2592</v>
      </c>
      <c r="J19" s="134">
        <f t="shared" si="18"/>
        <v>6096</v>
      </c>
      <c r="K19" s="134">
        <f t="shared" si="18"/>
        <v>5470</v>
      </c>
      <c r="L19" s="134">
        <f t="shared" si="18"/>
        <v>3219</v>
      </c>
      <c r="M19" s="134">
        <f t="shared" si="18"/>
        <v>1145</v>
      </c>
      <c r="N19" s="134">
        <f t="shared" si="18"/>
        <v>3011</v>
      </c>
      <c r="O19" s="134">
        <f t="shared" si="18"/>
        <v>1328</v>
      </c>
      <c r="P19" s="134">
        <f t="shared" si="18"/>
        <v>762</v>
      </c>
      <c r="Q19" s="134">
        <f t="shared" si="18"/>
        <v>408</v>
      </c>
      <c r="R19" s="134">
        <f t="shared" si="18"/>
        <v>3610</v>
      </c>
      <c r="S19" s="134">
        <f t="shared" si="18"/>
        <v>2401</v>
      </c>
      <c r="T19" s="134">
        <f t="shared" si="18"/>
        <v>6261</v>
      </c>
      <c r="U19" s="134">
        <f t="shared" si="18"/>
        <v>6070</v>
      </c>
      <c r="V19" s="134">
        <f t="shared" si="18"/>
        <v>2592</v>
      </c>
      <c r="W19" s="134">
        <f t="shared" si="18"/>
        <v>1375</v>
      </c>
      <c r="X19" s="134">
        <f t="shared" si="18"/>
        <v>3257</v>
      </c>
      <c r="Y19" s="134">
        <f t="shared" si="18"/>
        <v>115</v>
      </c>
      <c r="Z19" s="134">
        <f t="shared" si="18"/>
        <v>358</v>
      </c>
      <c r="AA19" s="134">
        <f t="shared" si="18"/>
        <v>346</v>
      </c>
      <c r="AB19" s="134">
        <f t="shared" si="18"/>
        <v>127</v>
      </c>
      <c r="AC19" s="134">
        <f t="shared" si="18"/>
        <v>0</v>
      </c>
      <c r="AD19" s="134">
        <f t="shared" si="18"/>
        <v>40</v>
      </c>
      <c r="AE19" s="134">
        <f t="shared" si="18"/>
        <v>37</v>
      </c>
      <c r="AF19" s="134">
        <f t="shared" si="18"/>
        <v>3</v>
      </c>
      <c r="AG19" s="134">
        <f t="shared" si="18"/>
        <v>115</v>
      </c>
      <c r="AH19" s="134">
        <f t="shared" si="18"/>
        <v>475</v>
      </c>
      <c r="AI19" s="134">
        <f t="shared" si="18"/>
        <v>475</v>
      </c>
      <c r="AJ19" s="134">
        <f t="shared" si="18"/>
        <v>115</v>
      </c>
      <c r="AK19" s="134">
        <f t="shared" si="18"/>
        <v>0</v>
      </c>
      <c r="AL19" s="134">
        <f t="shared" si="18"/>
        <v>31</v>
      </c>
      <c r="AM19" s="134">
        <f t="shared" si="18"/>
        <v>31</v>
      </c>
      <c r="AN19" s="213">
        <f t="shared" si="18"/>
        <v>0</v>
      </c>
      <c r="AO19" s="214">
        <v>5</v>
      </c>
      <c r="AP19" s="214">
        <v>4</v>
      </c>
      <c r="AQ19" s="214">
        <v>4</v>
      </c>
      <c r="AR19" s="214">
        <v>4</v>
      </c>
      <c r="AS19" s="156">
        <f t="shared" si="18"/>
        <v>0</v>
      </c>
      <c r="AT19" s="156">
        <f t="shared" si="18"/>
        <v>0</v>
      </c>
      <c r="AU19" s="214"/>
      <c r="AV19" s="215"/>
      <c r="AW19" s="214"/>
      <c r="AX19" s="215"/>
      <c r="AY19" s="133">
        <f>SUBTOTAL(9,AY9:AY18)</f>
        <v>2516</v>
      </c>
      <c r="AZ19" s="134">
        <f>SUBTOTAL(9,AZ9:AZ18)</f>
        <v>6736</v>
      </c>
      <c r="BA19" s="134">
        <f>SUBTOTAL(9,BA9:BA18)</f>
        <v>6545</v>
      </c>
      <c r="BB19" s="134">
        <f>SUBTOTAL(9,BB9:BB18)</f>
        <v>2707</v>
      </c>
      <c r="BC19" s="135">
        <f>SUBTOTAL(9,BC9:BC18)</f>
        <v>1808</v>
      </c>
      <c r="BD19" s="216">
        <f>IF(ISNUMBER(BA19/AZ19),BA19/AZ19," - ")</f>
        <v>0.97164489311163893</v>
      </c>
      <c r="BE19" s="213">
        <f>IF(ISNUMBER(BB19/BA19),BB19/BA19, " - ")</f>
        <v>0.413598166539343</v>
      </c>
      <c r="BF19" s="213">
        <f>IF(ISNUMBER(BC19/BA19),BC19/BA19, " - ")</f>
        <v>0.27624140565317035</v>
      </c>
      <c r="BG19" s="135">
        <f>IF(ISNUMBER((AY19+AZ19)/BA19),(AY19+AZ19)/BA19," - ")</f>
        <v>1.4135981665393431</v>
      </c>
      <c r="BH19" s="214">
        <f>SUBTOTAL(9,BH9:BH18)</f>
        <v>10</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mUR3s/5D0QL0uc5ioBTOUG6HMfEU7d2wa7r6Man7tAS+SVfMFMRpeCFi912MJJPtNNaresjMz75H90RcdRi3GA==" saltValue="A5dEUpxesmdoogBu5s4oaA=="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Y9" sqref="Y9:AB14"/>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VALENCIA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387</v>
      </c>
      <c r="BN5" s="1238"/>
      <c r="BO5" s="1239"/>
      <c r="BP5" s="1238"/>
      <c r="BQ5" s="1239"/>
      <c r="BR5" s="1238"/>
      <c r="BS5" s="1239"/>
      <c r="BT5" s="1238"/>
      <c r="BU5" s="1239"/>
      <c r="BV5" s="1405" t="s">
        <v>272</v>
      </c>
      <c r="BW5" s="1474" t="s">
        <v>252</v>
      </c>
      <c r="BX5" s="1474"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456</v>
      </c>
      <c r="CL5" s="1375" t="s">
        <v>457</v>
      </c>
      <c r="CM5" s="1375" t="s">
        <v>458</v>
      </c>
      <c r="CN5" s="1456" t="s">
        <v>370</v>
      </c>
      <c r="CO5" s="1456" t="s">
        <v>363</v>
      </c>
      <c r="CP5" s="1456" t="s">
        <v>369</v>
      </c>
      <c r="CQ5" s="1471" t="s">
        <v>368</v>
      </c>
      <c r="CR5" s="1471" t="s">
        <v>42</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479</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620</v>
      </c>
      <c r="ED5" s="1382" t="s">
        <v>590</v>
      </c>
      <c r="EE5" s="1382" t="s">
        <v>623</v>
      </c>
      <c r="EF5" s="1382" t="s">
        <v>624</v>
      </c>
      <c r="EG5" s="1351" t="s">
        <v>625</v>
      </c>
      <c r="EH5" s="1351" t="s">
        <v>626</v>
      </c>
      <c r="EI5" s="1351" t="s">
        <v>592</v>
      </c>
      <c r="EJ5" s="1351" t="s">
        <v>593</v>
      </c>
      <c r="EK5" s="1477" t="s">
        <v>670</v>
      </c>
      <c r="EL5" s="1369" t="s">
        <v>686</v>
      </c>
      <c r="EM5" s="1370"/>
      <c r="EN5" s="1371"/>
      <c r="EO5" s="1363" t="s">
        <v>744</v>
      </c>
      <c r="EP5" s="1363" t="s">
        <v>746</v>
      </c>
      <c r="EQ5" s="1363" t="s">
        <v>747</v>
      </c>
      <c r="ER5" s="1363" t="s">
        <v>752</v>
      </c>
      <c r="ES5" s="1363" t="s">
        <v>757</v>
      </c>
      <c r="ET5" s="1360" t="s">
        <v>821</v>
      </c>
      <c r="EU5" s="1360" t="s">
        <v>822</v>
      </c>
      <c r="EV5" s="1388" t="s">
        <v>838</v>
      </c>
      <c r="EW5" s="1351" t="s">
        <v>841</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75"/>
      <c r="BX6" s="1475"/>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478"/>
      <c r="EL6" s="1372"/>
      <c r="EM6" s="1373"/>
      <c r="EN6" s="1374"/>
      <c r="EO6" s="1364"/>
      <c r="EP6" s="1364"/>
      <c r="EQ6" s="1364"/>
      <c r="ER6" s="1364"/>
      <c r="ES6" s="1364"/>
      <c r="ET6" s="1361"/>
      <c r="EU6" s="1361"/>
      <c r="EV6" s="1389"/>
      <c r="EW6" s="1352"/>
      <c r="EX6" s="1466"/>
      <c r="EY6" s="1460"/>
    </row>
    <row r="7" spans="1:155" ht="87" customHeight="1" thickBot="1">
      <c r="A7" s="69" t="s">
        <v>743</v>
      </c>
      <c r="B7" s="1419"/>
      <c r="C7" s="1422"/>
      <c r="D7" s="66" t="s">
        <v>400</v>
      </c>
      <c r="E7" s="67" t="s">
        <v>126</v>
      </c>
      <c r="F7" s="67" t="s">
        <v>125</v>
      </c>
      <c r="G7" s="121" t="s">
        <v>35</v>
      </c>
      <c r="H7" s="122" t="s">
        <v>401</v>
      </c>
      <c r="I7" s="9" t="s">
        <v>375</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76"/>
      <c r="BX7" s="1476"/>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479"/>
      <c r="EL7" s="642" t="s">
        <v>687</v>
      </c>
      <c r="EM7" s="642" t="s">
        <v>95</v>
      </c>
      <c r="EN7" s="642" t="s">
        <v>96</v>
      </c>
      <c r="EO7" s="1365"/>
      <c r="EP7" s="1365"/>
      <c r="EQ7" s="1365"/>
      <c r="ER7" s="1365"/>
      <c r="ES7" s="1365"/>
      <c r="ET7" s="1362"/>
      <c r="EU7" s="1362"/>
      <c r="EV7" s="1390"/>
      <c r="EW7" s="1353"/>
      <c r="EX7" s="1467"/>
      <c r="EY7" s="1461"/>
    </row>
    <row r="8" spans="1:155" ht="14.25" customHeight="1" thickBot="1">
      <c r="A8" s="70" t="s">
        <v>102</v>
      </c>
      <c r="B8" s="141" t="s">
        <v>402</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3"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473" t="s">
        <v>688</v>
      </c>
      <c r="EM8" s="473" t="s">
        <v>689</v>
      </c>
      <c r="EN8" s="473" t="s">
        <v>690</v>
      </c>
      <c r="EO8" s="50" t="s">
        <v>745</v>
      </c>
      <c r="EP8" s="50" t="s">
        <v>750</v>
      </c>
      <c r="EQ8" s="50" t="s">
        <v>751</v>
      </c>
      <c r="ER8" s="473">
        <v>148</v>
      </c>
      <c r="ES8" s="473" t="s">
        <v>758</v>
      </c>
      <c r="ET8" s="1144" t="s">
        <v>823</v>
      </c>
      <c r="EU8" s="1144" t="s">
        <v>824</v>
      </c>
      <c r="EV8" s="1144" t="s">
        <v>832</v>
      </c>
      <c r="EW8" s="473" t="s">
        <v>840</v>
      </c>
      <c r="EX8" s="473" t="s">
        <v>859</v>
      </c>
      <c r="EY8" s="473" t="s">
        <v>864</v>
      </c>
    </row>
    <row r="9" spans="1:155" ht="14.25" customHeight="1">
      <c r="A9" s="20" t="s">
        <v>45</v>
      </c>
      <c r="B9" s="21" t="s">
        <v>402</v>
      </c>
      <c r="C9" s="22" t="s">
        <v>3</v>
      </c>
      <c r="D9" s="23" t="s">
        <v>20</v>
      </c>
      <c r="E9" s="21" t="s">
        <v>21</v>
      </c>
      <c r="F9" s="21">
        <v>32</v>
      </c>
      <c r="G9" s="6"/>
      <c r="H9" s="136" t="s">
        <v>245</v>
      </c>
      <c r="I9" s="58" t="s">
        <v>894</v>
      </c>
      <c r="J9" s="57" t="s">
        <v>897</v>
      </c>
      <c r="K9" s="57" t="s">
        <v>900</v>
      </c>
      <c r="L9" s="57" t="s">
        <v>903</v>
      </c>
      <c r="M9" s="57" t="s">
        <v>863</v>
      </c>
      <c r="N9" s="57" t="s">
        <v>866</v>
      </c>
      <c r="O9" s="57" t="s">
        <v>323</v>
      </c>
      <c r="P9" s="57" t="s">
        <v>371</v>
      </c>
      <c r="Q9" s="57" t="s">
        <v>372</v>
      </c>
      <c r="R9" s="57" t="s">
        <v>373</v>
      </c>
      <c r="S9" s="57"/>
      <c r="T9" s="57"/>
      <c r="U9" s="57"/>
      <c r="V9" s="57"/>
      <c r="W9" s="57"/>
      <c r="X9" s="61"/>
      <c r="Y9" s="62" t="s">
        <v>892</v>
      </c>
      <c r="Z9" s="57" t="s">
        <v>890</v>
      </c>
      <c r="AA9" s="57" t="s">
        <v>893</v>
      </c>
      <c r="AB9" s="57" t="s">
        <v>891</v>
      </c>
      <c r="AC9" s="57"/>
      <c r="AD9" s="57"/>
      <c r="AE9" s="57"/>
      <c r="AF9" s="61"/>
      <c r="AG9" s="62"/>
      <c r="AH9" s="57"/>
      <c r="AI9" s="57"/>
      <c r="AJ9" s="63"/>
      <c r="AK9" s="58"/>
      <c r="AL9" s="57"/>
      <c r="AM9" s="57"/>
      <c r="AN9" s="61"/>
      <c r="AO9" s="64"/>
      <c r="AP9" s="64"/>
      <c r="AQ9" s="64"/>
      <c r="AR9" s="60"/>
      <c r="AS9" s="320" t="s">
        <v>872</v>
      </c>
      <c r="AT9" s="198"/>
      <c r="AU9" s="320" t="s">
        <v>810</v>
      </c>
      <c r="AV9" s="198"/>
      <c r="AW9" s="320" t="s">
        <v>813</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499</v>
      </c>
      <c r="BW9" s="159" t="s">
        <v>303</v>
      </c>
      <c r="BX9" s="159" t="s">
        <v>304</v>
      </c>
      <c r="BY9" s="159" t="s">
        <v>879</v>
      </c>
      <c r="BZ9" s="159" t="s">
        <v>481</v>
      </c>
      <c r="CA9" s="159" t="s">
        <v>412</v>
      </c>
      <c r="CB9" s="159" t="s">
        <v>413</v>
      </c>
      <c r="CC9" s="159" t="s">
        <v>414</v>
      </c>
      <c r="CD9" s="159" t="s">
        <v>415</v>
      </c>
      <c r="CE9" s="159"/>
      <c r="CF9" s="159"/>
      <c r="CG9" s="159"/>
      <c r="CH9" s="159"/>
      <c r="CI9" s="159" t="s">
        <v>506</v>
      </c>
      <c r="CJ9" s="159" t="s">
        <v>416</v>
      </c>
      <c r="CK9" s="159" t="s">
        <v>493</v>
      </c>
      <c r="CL9" s="159" t="s">
        <v>495</v>
      </c>
      <c r="CM9" s="159" t="s">
        <v>497</v>
      </c>
      <c r="CN9" s="159">
        <v>1088</v>
      </c>
      <c r="CO9" s="159">
        <v>720</v>
      </c>
      <c r="CP9" s="159">
        <v>1088</v>
      </c>
      <c r="CQ9" s="292" t="s">
        <v>853</v>
      </c>
      <c r="CR9" s="292" t="s">
        <v>482</v>
      </c>
      <c r="CS9" s="159"/>
      <c r="CT9" s="159"/>
      <c r="CU9" s="159"/>
      <c r="CV9" s="159" t="s">
        <v>504</v>
      </c>
      <c r="CW9" s="159" t="s">
        <v>411</v>
      </c>
      <c r="CX9" s="159" t="s">
        <v>343</v>
      </c>
      <c r="CY9" s="159" t="s">
        <v>439</v>
      </c>
      <c r="CZ9" s="159" t="s">
        <v>440</v>
      </c>
      <c r="DA9" s="159" t="s">
        <v>441</v>
      </c>
      <c r="DB9" s="320" t="s">
        <v>873</v>
      </c>
      <c r="DC9" s="320" t="s">
        <v>874</v>
      </c>
      <c r="DD9" s="159"/>
      <c r="DE9" s="159" t="s">
        <v>241</v>
      </c>
      <c r="DF9" s="159"/>
      <c r="DG9" s="159" t="s">
        <v>445</v>
      </c>
      <c r="DH9" s="159" t="s">
        <v>501</v>
      </c>
      <c r="DI9" s="159" t="s">
        <v>502</v>
      </c>
      <c r="DJ9" s="159" t="s">
        <v>503</v>
      </c>
      <c r="DK9" s="159"/>
      <c r="DL9" s="159"/>
      <c r="DM9" s="159"/>
      <c r="DN9" s="159"/>
      <c r="DO9" s="159"/>
      <c r="DP9" s="159"/>
      <c r="DQ9" s="159"/>
      <c r="DR9" s="159"/>
      <c r="DS9" s="159"/>
      <c r="DT9" s="159"/>
      <c r="DU9" s="159" t="s">
        <v>677</v>
      </c>
      <c r="DV9" s="159" t="s">
        <v>672</v>
      </c>
      <c r="DW9" s="159" t="s">
        <v>673</v>
      </c>
      <c r="DX9" s="159" t="s">
        <v>674</v>
      </c>
      <c r="DY9" s="159" t="s">
        <v>675</v>
      </c>
      <c r="DZ9" s="159"/>
      <c r="EA9" s="159"/>
      <c r="EB9" s="159"/>
      <c r="EC9" s="159"/>
      <c r="ED9" s="159"/>
      <c r="EE9" s="159"/>
      <c r="EF9" s="159"/>
      <c r="EG9" s="159"/>
      <c r="EH9" s="159"/>
      <c r="EI9" s="159"/>
      <c r="EJ9" s="159"/>
      <c r="EK9" s="159"/>
      <c r="EL9" s="292" t="s">
        <v>797</v>
      </c>
      <c r="EM9" s="292" t="s">
        <v>798</v>
      </c>
      <c r="EN9" s="159" t="s">
        <v>796</v>
      </c>
      <c r="EO9" s="992" t="s">
        <v>875</v>
      </c>
      <c r="EP9" s="992" t="s">
        <v>882</v>
      </c>
      <c r="EQ9" s="992" t="s">
        <v>884</v>
      </c>
      <c r="ER9" s="1003">
        <v>1200</v>
      </c>
      <c r="ES9" s="1000"/>
      <c r="ET9" s="1145"/>
      <c r="EU9" s="1145"/>
      <c r="EV9" s="159" t="s">
        <v>835</v>
      </c>
      <c r="EW9" s="159"/>
      <c r="EX9" s="159"/>
      <c r="EY9" s="159"/>
    </row>
    <row r="10" spans="1:155" ht="14.25" customHeight="1">
      <c r="A10" s="137" t="s">
        <v>143</v>
      </c>
      <c r="B10" s="21" t="s">
        <v>402</v>
      </c>
      <c r="C10" s="22" t="s">
        <v>3</v>
      </c>
      <c r="D10" s="23" t="s">
        <v>82</v>
      </c>
      <c r="E10" s="21" t="s">
        <v>82</v>
      </c>
      <c r="F10" s="21" t="s">
        <v>138</v>
      </c>
      <c r="G10" s="6"/>
      <c r="H10" s="136"/>
      <c r="I10" s="183" t="s">
        <v>520</v>
      </c>
      <c r="J10" s="184" t="s">
        <v>518</v>
      </c>
      <c r="K10" s="184" t="s">
        <v>519</v>
      </c>
      <c r="L10" s="184" t="s">
        <v>524</v>
      </c>
      <c r="M10" s="57" t="s">
        <v>513</v>
      </c>
      <c r="N10" s="57" t="s">
        <v>139</v>
      </c>
      <c r="O10" s="57" t="s">
        <v>227</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759</v>
      </c>
      <c r="AT10" s="63"/>
      <c r="AU10" s="151" t="s">
        <v>760</v>
      </c>
      <c r="AV10" s="63"/>
      <c r="AW10" s="151" t="s">
        <v>761</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310</v>
      </c>
      <c r="BW10" s="157" t="s">
        <v>347</v>
      </c>
      <c r="BX10" s="157" t="s">
        <v>348</v>
      </c>
      <c r="BY10" s="157" t="s">
        <v>762</v>
      </c>
      <c r="BZ10" s="157"/>
      <c r="CA10" s="157"/>
      <c r="CB10" s="157"/>
      <c r="CC10" s="157"/>
      <c r="CD10" s="157"/>
      <c r="CE10" s="157"/>
      <c r="CF10" s="157"/>
      <c r="CG10" s="157"/>
      <c r="CH10" s="157"/>
      <c r="CI10" s="157" t="s">
        <v>508</v>
      </c>
      <c r="CJ10" s="157" t="s">
        <v>300</v>
      </c>
      <c r="CK10" s="157" t="s">
        <v>459</v>
      </c>
      <c r="CL10" s="157" t="s">
        <v>460</v>
      </c>
      <c r="CM10" s="157" t="s">
        <v>461</v>
      </c>
      <c r="CN10" s="157">
        <v>1175</v>
      </c>
      <c r="CO10" s="157">
        <v>0</v>
      </c>
      <c r="CP10" s="292" t="s">
        <v>418</v>
      </c>
      <c r="CQ10" s="157" t="s">
        <v>763</v>
      </c>
      <c r="CR10" s="157"/>
      <c r="CS10" s="157"/>
      <c r="CT10" s="159"/>
      <c r="CU10" s="159"/>
      <c r="CV10" s="159" t="s">
        <v>315</v>
      </c>
      <c r="CW10" s="159" t="s">
        <v>339</v>
      </c>
      <c r="CX10" s="159" t="s">
        <v>342</v>
      </c>
      <c r="CY10" s="159" t="s">
        <v>509</v>
      </c>
      <c r="CZ10" s="159" t="s">
        <v>510</v>
      </c>
      <c r="DA10" s="159" t="s">
        <v>511</v>
      </c>
      <c r="DB10" s="323" t="s">
        <v>521</v>
      </c>
      <c r="DC10" s="322"/>
      <c r="DD10" s="159"/>
      <c r="DE10" s="159" t="s">
        <v>242</v>
      </c>
      <c r="DF10" s="159"/>
      <c r="DG10" s="159" t="s">
        <v>512</v>
      </c>
      <c r="DH10" s="157" t="s">
        <v>432</v>
      </c>
      <c r="DI10" s="157" t="s">
        <v>430</v>
      </c>
      <c r="DJ10" s="157" t="s">
        <v>431</v>
      </c>
      <c r="DK10" s="157"/>
      <c r="DL10" s="157"/>
      <c r="DM10" s="292"/>
      <c r="DN10" s="292"/>
      <c r="DO10" s="292"/>
      <c r="DP10" s="292"/>
      <c r="DQ10" s="292"/>
      <c r="DR10" s="292"/>
      <c r="DS10" s="292"/>
      <c r="DT10" s="292"/>
      <c r="DU10" s="158" t="s">
        <v>610</v>
      </c>
      <c r="DV10" s="292" t="s">
        <v>724</v>
      </c>
      <c r="DW10" s="292" t="s">
        <v>721</v>
      </c>
      <c r="DX10" s="292" t="s">
        <v>722</v>
      </c>
      <c r="DY10" s="292" t="s">
        <v>723</v>
      </c>
      <c r="DZ10" s="292"/>
      <c r="EA10" s="292"/>
      <c r="EB10" s="292"/>
      <c r="EC10" s="292"/>
      <c r="ED10" s="292"/>
      <c r="EE10" s="292"/>
      <c r="EF10" s="292"/>
      <c r="EG10" s="292"/>
      <c r="EH10" s="292"/>
      <c r="EI10" s="292"/>
      <c r="EJ10" s="292"/>
      <c r="EK10" s="292"/>
      <c r="EL10" s="292"/>
      <c r="EM10" s="292"/>
      <c r="EN10" s="292"/>
      <c r="EO10" s="323" t="s">
        <v>768</v>
      </c>
      <c r="EP10" s="323" t="s">
        <v>769</v>
      </c>
      <c r="EQ10" s="323" t="s">
        <v>770</v>
      </c>
      <c r="ER10" s="1004">
        <v>1600</v>
      </c>
      <c r="ES10" s="342"/>
      <c r="ET10" s="1145"/>
      <c r="EU10" s="1145"/>
      <c r="EV10" s="159" t="s">
        <v>837</v>
      </c>
      <c r="EW10" s="292"/>
      <c r="EX10" s="292"/>
      <c r="EY10" s="292"/>
    </row>
    <row r="11" spans="1:155" ht="14.25" customHeight="1" thickBot="1">
      <c r="A11" s="20" t="s">
        <v>403</v>
      </c>
      <c r="B11" s="21" t="s">
        <v>402</v>
      </c>
      <c r="C11" s="22" t="s">
        <v>3</v>
      </c>
      <c r="D11" s="23" t="s">
        <v>20</v>
      </c>
      <c r="E11" s="21" t="s">
        <v>51</v>
      </c>
      <c r="F11" s="21">
        <v>32</v>
      </c>
      <c r="G11" s="6"/>
      <c r="H11" s="28" t="s">
        <v>36</v>
      </c>
      <c r="I11" s="25" t="s">
        <v>895</v>
      </c>
      <c r="J11" s="26" t="s">
        <v>898</v>
      </c>
      <c r="K11" s="26" t="s">
        <v>901</v>
      </c>
      <c r="L11" s="26" t="s">
        <v>904</v>
      </c>
      <c r="M11" s="26" t="s">
        <v>490</v>
      </c>
      <c r="N11" s="26" t="s">
        <v>38</v>
      </c>
      <c r="O11" s="57" t="s">
        <v>224</v>
      </c>
      <c r="P11" s="26" t="s">
        <v>39</v>
      </c>
      <c r="Q11" s="26" t="s">
        <v>40</v>
      </c>
      <c r="R11" s="26" t="s">
        <v>91</v>
      </c>
      <c r="S11" s="26"/>
      <c r="T11" s="26"/>
      <c r="U11" s="26"/>
      <c r="V11" s="26"/>
      <c r="W11" s="26"/>
      <c r="X11" s="52"/>
      <c r="Y11" s="62" t="s">
        <v>892</v>
      </c>
      <c r="Z11" s="57" t="s">
        <v>906</v>
      </c>
      <c r="AA11" s="57" t="s">
        <v>893</v>
      </c>
      <c r="AB11" s="57" t="s">
        <v>891</v>
      </c>
      <c r="AC11" s="26"/>
      <c r="AD11" s="26"/>
      <c r="AE11" s="26"/>
      <c r="AF11" s="52"/>
      <c r="AG11" s="49"/>
      <c r="AH11" s="26"/>
      <c r="AI11" s="26"/>
      <c r="AJ11" s="27"/>
      <c r="AK11" s="25"/>
      <c r="AL11" s="26"/>
      <c r="AM11" s="26"/>
      <c r="AN11" s="52"/>
      <c r="AO11" s="59"/>
      <c r="AP11" s="59"/>
      <c r="AQ11" s="59"/>
      <c r="AR11" s="64"/>
      <c r="AS11" s="49" t="s">
        <v>805</v>
      </c>
      <c r="AT11" s="27"/>
      <c r="AU11" s="49" t="s">
        <v>811</v>
      </c>
      <c r="AV11" s="27"/>
      <c r="AW11" s="49" t="s">
        <v>814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498</v>
      </c>
      <c r="BW11" s="159" t="s">
        <v>254</v>
      </c>
      <c r="BX11" s="159" t="s">
        <v>255</v>
      </c>
      <c r="BY11" s="160" t="s">
        <v>881</v>
      </c>
      <c r="BZ11" s="159" t="s">
        <v>742</v>
      </c>
      <c r="CA11" s="159" t="s">
        <v>290</v>
      </c>
      <c r="CB11" s="159" t="s">
        <v>285</v>
      </c>
      <c r="CC11" s="159" t="s">
        <v>286</v>
      </c>
      <c r="CD11" s="159" t="s">
        <v>287</v>
      </c>
      <c r="CE11" s="160"/>
      <c r="CF11" s="160"/>
      <c r="CG11" s="160"/>
      <c r="CH11" s="160"/>
      <c r="CI11" s="160" t="s">
        <v>483</v>
      </c>
      <c r="CJ11" s="160" t="s">
        <v>298</v>
      </c>
      <c r="CK11" s="159" t="s">
        <v>492</v>
      </c>
      <c r="CL11" s="159" t="s">
        <v>494</v>
      </c>
      <c r="CM11" s="159" t="s">
        <v>496</v>
      </c>
      <c r="CN11" s="159">
        <v>1088</v>
      </c>
      <c r="CO11" s="160">
        <v>1000</v>
      </c>
      <c r="CP11" s="159">
        <v>1088</v>
      </c>
      <c r="CQ11" s="159" t="s">
        <v>856</v>
      </c>
      <c r="CR11" s="159" t="s">
        <v>855</v>
      </c>
      <c r="CS11" s="160"/>
      <c r="CT11" s="159"/>
      <c r="CU11" s="159"/>
      <c r="CV11" s="159" t="s">
        <v>504</v>
      </c>
      <c r="CW11" s="159" t="s">
        <v>336</v>
      </c>
      <c r="CX11" s="159" t="s">
        <v>343</v>
      </c>
      <c r="CY11" s="159" t="s">
        <v>439</v>
      </c>
      <c r="CZ11" s="159" t="s">
        <v>440</v>
      </c>
      <c r="DA11" s="159" t="s">
        <v>441</v>
      </c>
      <c r="DB11" s="150" t="s">
        <v>867</v>
      </c>
      <c r="DC11" s="150" t="s">
        <v>868</v>
      </c>
      <c r="DD11" s="159"/>
      <c r="DE11" s="159" t="s">
        <v>243</v>
      </c>
      <c r="DF11" s="159"/>
      <c r="DG11" s="159" t="s">
        <v>445</v>
      </c>
      <c r="DH11" s="159" t="s">
        <v>501</v>
      </c>
      <c r="DI11" s="159" t="s">
        <v>502</v>
      </c>
      <c r="DJ11" s="159" t="s">
        <v>503</v>
      </c>
      <c r="DK11" s="159"/>
      <c r="DL11" s="159"/>
      <c r="DM11" s="292"/>
      <c r="DN11" s="292"/>
      <c r="DO11" s="292"/>
      <c r="DP11" s="292"/>
      <c r="DQ11" s="292"/>
      <c r="DR11" s="292"/>
      <c r="DS11" s="292"/>
      <c r="DT11" s="292"/>
      <c r="DU11" s="292" t="s">
        <v>677</v>
      </c>
      <c r="DV11" s="292" t="s">
        <v>672</v>
      </c>
      <c r="DW11" s="292" t="s">
        <v>673</v>
      </c>
      <c r="DX11" s="292" t="s">
        <v>674</v>
      </c>
      <c r="DY11" s="292" t="s">
        <v>675</v>
      </c>
      <c r="DZ11" s="292"/>
      <c r="EA11" s="292"/>
      <c r="EB11" s="292"/>
      <c r="EC11" s="292"/>
      <c r="ED11" s="292"/>
      <c r="EE11" s="292"/>
      <c r="EF11" s="292"/>
      <c r="EG11" s="292"/>
      <c r="EH11" s="292"/>
      <c r="EI11" s="292"/>
      <c r="EJ11" s="292"/>
      <c r="EK11" s="292"/>
      <c r="EL11" s="292"/>
      <c r="EM11" s="292"/>
      <c r="EN11" s="292"/>
      <c r="EO11" s="991" t="s">
        <v>876</v>
      </c>
      <c r="EP11" s="991" t="s">
        <v>857</v>
      </c>
      <c r="EQ11" s="991" t="s">
        <v>858</v>
      </c>
      <c r="ER11" s="1005">
        <v>1323</v>
      </c>
      <c r="ES11" s="1001"/>
      <c r="ET11" s="1145"/>
      <c r="EU11" s="1145"/>
      <c r="EV11" s="159" t="s">
        <v>834</v>
      </c>
      <c r="EW11" s="292"/>
      <c r="EX11" s="292"/>
      <c r="EY11" s="292"/>
    </row>
    <row r="12" spans="1:155" ht="14.25" customHeight="1">
      <c r="A12" s="20" t="s">
        <v>404</v>
      </c>
      <c r="B12" s="21" t="s">
        <v>402</v>
      </c>
      <c r="C12" s="22" t="s">
        <v>3</v>
      </c>
      <c r="D12" s="23" t="s">
        <v>20</v>
      </c>
      <c r="E12" s="21" t="s">
        <v>20</v>
      </c>
      <c r="F12" s="21">
        <v>31</v>
      </c>
      <c r="G12" s="6"/>
      <c r="H12" s="29"/>
      <c r="I12" s="25" t="s">
        <v>896</v>
      </c>
      <c r="J12" s="26" t="s">
        <v>899</v>
      </c>
      <c r="K12" s="26" t="s">
        <v>902</v>
      </c>
      <c r="L12" s="26" t="s">
        <v>905</v>
      </c>
      <c r="M12" s="26" t="s">
        <v>862</v>
      </c>
      <c r="N12" s="26" t="s">
        <v>38</v>
      </c>
      <c r="O12" s="57" t="s">
        <v>224</v>
      </c>
      <c r="P12" s="26" t="s">
        <v>381</v>
      </c>
      <c r="Q12" s="26" t="s">
        <v>382</v>
      </c>
      <c r="R12" s="26" t="s">
        <v>383</v>
      </c>
      <c r="S12" s="26"/>
      <c r="T12" s="26"/>
      <c r="U12" s="26"/>
      <c r="V12" s="26"/>
      <c r="W12" s="26"/>
      <c r="X12" s="52"/>
      <c r="Y12" s="62" t="s">
        <v>892</v>
      </c>
      <c r="Z12" s="57" t="s">
        <v>890</v>
      </c>
      <c r="AA12" s="57" t="s">
        <v>893</v>
      </c>
      <c r="AB12" s="57" t="s">
        <v>891</v>
      </c>
      <c r="AC12" s="26"/>
      <c r="AD12" s="26"/>
      <c r="AE12" s="26"/>
      <c r="AF12" s="52"/>
      <c r="AG12" s="49"/>
      <c r="AH12" s="26"/>
      <c r="AI12" s="26"/>
      <c r="AJ12" s="27"/>
      <c r="AK12" s="25"/>
      <c r="AL12" s="26"/>
      <c r="AM12" s="26"/>
      <c r="AN12" s="52"/>
      <c r="AO12" s="59"/>
      <c r="AP12" s="59"/>
      <c r="AQ12" s="59"/>
      <c r="AR12" s="64"/>
      <c r="AS12" s="49" t="s">
        <v>869</v>
      </c>
      <c r="AT12" s="27"/>
      <c r="AU12" s="49" t="s">
        <v>808</v>
      </c>
      <c r="AV12" s="27"/>
      <c r="AW12" s="49" t="s">
        <v>815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500</v>
      </c>
      <c r="BW12" s="159" t="s">
        <v>384</v>
      </c>
      <c r="BX12" s="159" t="s">
        <v>385</v>
      </c>
      <c r="BY12" s="160" t="s">
        <v>880</v>
      </c>
      <c r="BZ12" s="159"/>
      <c r="CA12" s="159" t="s">
        <v>290</v>
      </c>
      <c r="CB12" s="159" t="s">
        <v>285</v>
      </c>
      <c r="CC12" s="159" t="s">
        <v>286</v>
      </c>
      <c r="CD12" s="159" t="s">
        <v>287</v>
      </c>
      <c r="CE12" s="160"/>
      <c r="CF12" s="160"/>
      <c r="CG12" s="160"/>
      <c r="CH12" s="160"/>
      <c r="CI12" s="160" t="s">
        <v>483</v>
      </c>
      <c r="CJ12" s="160" t="s">
        <v>298</v>
      </c>
      <c r="CK12" s="159" t="s">
        <v>493</v>
      </c>
      <c r="CL12" s="159" t="s">
        <v>495</v>
      </c>
      <c r="CM12" s="159" t="s">
        <v>497</v>
      </c>
      <c r="CN12" s="292" t="s">
        <v>332</v>
      </c>
      <c r="CO12" s="160">
        <v>2880</v>
      </c>
      <c r="CP12" s="292" t="s">
        <v>307</v>
      </c>
      <c r="CQ12" s="292" t="s">
        <v>854</v>
      </c>
      <c r="CR12" s="292"/>
      <c r="CS12" s="160"/>
      <c r="CT12" s="159"/>
      <c r="CU12" s="159"/>
      <c r="CV12" s="159" t="s">
        <v>504</v>
      </c>
      <c r="CW12" s="159" t="s">
        <v>336</v>
      </c>
      <c r="CX12" s="159" t="s">
        <v>343</v>
      </c>
      <c r="CY12" s="159" t="s">
        <v>439</v>
      </c>
      <c r="CZ12" s="159" t="s">
        <v>440</v>
      </c>
      <c r="DA12" s="159" t="s">
        <v>441</v>
      </c>
      <c r="DB12" s="320" t="s">
        <v>870</v>
      </c>
      <c r="DC12" s="320" t="s">
        <v>871</v>
      </c>
      <c r="DD12" s="159"/>
      <c r="DE12" s="159" t="s">
        <v>244</v>
      </c>
      <c r="DF12" s="159"/>
      <c r="DG12" s="159" t="s">
        <v>445</v>
      </c>
      <c r="DH12" s="159" t="s">
        <v>501</v>
      </c>
      <c r="DI12" s="159" t="s">
        <v>502</v>
      </c>
      <c r="DJ12" s="159" t="s">
        <v>503</v>
      </c>
      <c r="DK12" s="159"/>
      <c r="DL12" s="159"/>
      <c r="DM12" s="292"/>
      <c r="DN12" s="292"/>
      <c r="DO12" s="292"/>
      <c r="DP12" s="292"/>
      <c r="DQ12" s="292"/>
      <c r="DR12" s="292"/>
      <c r="DS12" s="292"/>
      <c r="DT12" s="292"/>
      <c r="DU12" s="292" t="s">
        <v>677</v>
      </c>
      <c r="DV12" s="292" t="s">
        <v>672</v>
      </c>
      <c r="DW12" s="292" t="s">
        <v>673</v>
      </c>
      <c r="DX12" s="292" t="s">
        <v>674</v>
      </c>
      <c r="DY12" s="292" t="s">
        <v>675</v>
      </c>
      <c r="DZ12" s="292"/>
      <c r="EA12" s="292"/>
      <c r="EB12" s="292"/>
      <c r="EC12" s="292"/>
      <c r="ED12" s="292"/>
      <c r="EE12" s="292"/>
      <c r="EF12" s="292"/>
      <c r="EG12" s="292"/>
      <c r="EH12" s="292"/>
      <c r="EI12" s="292"/>
      <c r="EJ12" s="292"/>
      <c r="EK12" s="292"/>
      <c r="EL12" s="292" t="s">
        <v>797</v>
      </c>
      <c r="EM12" s="292" t="s">
        <v>798</v>
      </c>
      <c r="EN12" s="159" t="s">
        <v>796</v>
      </c>
      <c r="EO12" s="992" t="s">
        <v>878</v>
      </c>
      <c r="EP12" s="992" t="s">
        <v>883</v>
      </c>
      <c r="EQ12" s="992" t="s">
        <v>885</v>
      </c>
      <c r="ER12" s="1003">
        <v>680</v>
      </c>
      <c r="ES12" s="1002"/>
      <c r="ET12" s="1145"/>
      <c r="EU12" s="1145"/>
      <c r="EV12" s="159" t="s">
        <v>834</v>
      </c>
      <c r="EW12" s="292"/>
      <c r="EX12" s="292"/>
      <c r="EY12" s="292"/>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25" t="s">
        <v>516</v>
      </c>
      <c r="J15" s="26" t="s">
        <v>776</v>
      </c>
      <c r="K15" s="26" t="s">
        <v>784</v>
      </c>
      <c r="L15" s="26" t="s">
        <v>789</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380</v>
      </c>
      <c r="BW15" s="158" t="s">
        <v>305</v>
      </c>
      <c r="BX15" s="158" t="s">
        <v>306</v>
      </c>
      <c r="BY15" s="217" t="s">
        <v>764</v>
      </c>
      <c r="BZ15" s="217" t="s">
        <v>845</v>
      </c>
      <c r="CA15" s="158"/>
      <c r="CB15" s="158"/>
      <c r="CC15" s="158"/>
      <c r="CD15" s="158"/>
      <c r="CE15" s="158"/>
      <c r="CF15" s="158"/>
      <c r="CG15" s="158"/>
      <c r="CH15" s="158"/>
      <c r="CI15" s="158" t="s">
        <v>489</v>
      </c>
      <c r="CJ15" s="158" t="s">
        <v>397</v>
      </c>
      <c r="CK15" s="158" t="s">
        <v>462</v>
      </c>
      <c r="CL15" s="158" t="s">
        <v>463</v>
      </c>
      <c r="CM15" s="158" t="s">
        <v>464</v>
      </c>
      <c r="CN15" s="158">
        <v>1262</v>
      </c>
      <c r="CO15" s="158">
        <v>6600</v>
      </c>
      <c r="CP15" s="158">
        <v>1262</v>
      </c>
      <c r="CQ15" s="217" t="s">
        <v>517</v>
      </c>
      <c r="CR15" s="217" t="s">
        <v>846</v>
      </c>
      <c r="CS15" s="158" t="s">
        <v>389</v>
      </c>
      <c r="CT15" s="159"/>
      <c r="CU15" s="159"/>
      <c r="CV15" s="159" t="s">
        <v>374</v>
      </c>
      <c r="CW15" s="159" t="s">
        <v>337</v>
      </c>
      <c r="CX15" s="159" t="s">
        <v>159</v>
      </c>
      <c r="CY15" s="159"/>
      <c r="CZ15" s="159"/>
      <c r="DA15" s="159"/>
      <c r="DB15" s="150" t="s">
        <v>777</v>
      </c>
      <c r="DC15" s="150" t="s">
        <v>778</v>
      </c>
      <c r="DD15" s="159"/>
      <c r="DE15" s="159" t="s">
        <v>523</v>
      </c>
      <c r="DF15" s="159" t="s">
        <v>410</v>
      </c>
      <c r="DG15" s="159"/>
      <c r="DH15" s="158" t="s">
        <v>427</v>
      </c>
      <c r="DI15" s="158" t="s">
        <v>428</v>
      </c>
      <c r="DJ15" s="158" t="s">
        <v>429</v>
      </c>
      <c r="DK15" s="158"/>
      <c r="DL15" s="158"/>
      <c r="DM15" s="158"/>
      <c r="DN15" s="158"/>
      <c r="DO15" s="158"/>
      <c r="DP15" s="158"/>
      <c r="DQ15" s="158"/>
      <c r="DR15" s="158"/>
      <c r="DS15" s="158"/>
      <c r="DT15" s="158"/>
      <c r="DU15" s="158" t="s">
        <v>609</v>
      </c>
      <c r="DV15" s="158"/>
      <c r="DW15" s="158"/>
      <c r="DX15" s="158"/>
      <c r="DY15" s="158"/>
      <c r="DZ15" s="158"/>
      <c r="EA15" s="158"/>
      <c r="EB15" s="158" t="s">
        <v>740</v>
      </c>
      <c r="EC15" s="158" t="s">
        <v>617</v>
      </c>
      <c r="ED15" s="158"/>
      <c r="EE15" s="158">
        <v>6000</v>
      </c>
      <c r="EF15" s="158">
        <v>650</v>
      </c>
      <c r="EG15" s="158"/>
      <c r="EH15" s="158"/>
      <c r="EI15" s="158" t="s">
        <v>618</v>
      </c>
      <c r="EJ15" s="158"/>
      <c r="EK15" s="158"/>
      <c r="EL15" s="158"/>
      <c r="EM15" s="158"/>
      <c r="EN15" s="158"/>
      <c r="EO15" s="991" t="s">
        <v>806</v>
      </c>
      <c r="EP15" s="991" t="s">
        <v>809</v>
      </c>
      <c r="EQ15" s="991" t="s">
        <v>816</v>
      </c>
      <c r="ER15" s="1006" t="s">
        <v>767</v>
      </c>
      <c r="ES15" s="1001"/>
      <c r="ET15" s="1145"/>
      <c r="EU15" s="1145"/>
      <c r="EV15" s="159" t="s">
        <v>833</v>
      </c>
      <c r="EW15" s="158"/>
      <c r="EX15" s="158"/>
      <c r="EY15" s="158"/>
    </row>
    <row r="16" spans="1:155" ht="14.25" customHeight="1">
      <c r="A16" s="7" t="s">
        <v>404</v>
      </c>
      <c r="B16" s="21" t="s">
        <v>402</v>
      </c>
      <c r="C16" s="22" t="s">
        <v>3</v>
      </c>
      <c r="D16" s="23" t="s">
        <v>20</v>
      </c>
      <c r="E16" s="21" t="s">
        <v>20</v>
      </c>
      <c r="F16" s="21">
        <v>31</v>
      </c>
      <c r="G16" s="6"/>
      <c r="H16" s="24"/>
      <c r="I16" s="25" t="s">
        <v>516</v>
      </c>
      <c r="J16" s="26" t="s">
        <v>779</v>
      </c>
      <c r="K16" s="26" t="s">
        <v>785</v>
      </c>
      <c r="L16" s="26" t="s">
        <v>790</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780</v>
      </c>
      <c r="AT16" s="27"/>
      <c r="AU16" s="49" t="s">
        <v>786</v>
      </c>
      <c r="AV16" s="27"/>
      <c r="AW16" s="49" t="s">
        <v>791</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380</v>
      </c>
      <c r="BW16" s="158" t="s">
        <v>378</v>
      </c>
      <c r="BX16" s="158" t="s">
        <v>379</v>
      </c>
      <c r="BY16" s="176" t="s">
        <v>528</v>
      </c>
      <c r="BZ16" s="160"/>
      <c r="CA16" s="160"/>
      <c r="CB16" s="160"/>
      <c r="CC16" s="160"/>
      <c r="CD16" s="160"/>
      <c r="CE16" s="160"/>
      <c r="CF16" s="160"/>
      <c r="CG16" s="160"/>
      <c r="CH16" s="160"/>
      <c r="CI16" s="160" t="s">
        <v>489</v>
      </c>
      <c r="CJ16" s="160" t="s">
        <v>397</v>
      </c>
      <c r="CK16" s="158" t="s">
        <v>462</v>
      </c>
      <c r="CL16" s="158" t="s">
        <v>463</v>
      </c>
      <c r="CM16" s="158" t="s">
        <v>464</v>
      </c>
      <c r="CN16" s="292" t="s">
        <v>332</v>
      </c>
      <c r="CO16" s="160">
        <v>2880</v>
      </c>
      <c r="CP16" s="217" t="s">
        <v>308</v>
      </c>
      <c r="CQ16" s="217" t="s">
        <v>517</v>
      </c>
      <c r="CR16" s="217"/>
      <c r="CS16" s="158" t="s">
        <v>389</v>
      </c>
      <c r="CT16" s="159"/>
      <c r="CU16" s="159"/>
      <c r="CV16" s="159" t="s">
        <v>374</v>
      </c>
      <c r="CW16" s="159" t="s">
        <v>337</v>
      </c>
      <c r="CX16" s="159" t="s">
        <v>159</v>
      </c>
      <c r="CY16" s="159"/>
      <c r="CZ16" s="159"/>
      <c r="DA16" s="159"/>
      <c r="DB16" s="150" t="s">
        <v>781</v>
      </c>
      <c r="DC16" s="150" t="s">
        <v>782</v>
      </c>
      <c r="DD16" s="159"/>
      <c r="DE16" s="159" t="s">
        <v>523</v>
      </c>
      <c r="DF16" s="159" t="s">
        <v>410</v>
      </c>
      <c r="DG16" s="159"/>
      <c r="DH16" s="158" t="s">
        <v>427</v>
      </c>
      <c r="DI16" s="158" t="s">
        <v>428</v>
      </c>
      <c r="DJ16" s="158" t="s">
        <v>429</v>
      </c>
      <c r="DK16" s="158"/>
      <c r="DL16" s="158"/>
      <c r="DM16" s="158"/>
      <c r="DN16" s="158"/>
      <c r="DO16" s="158"/>
      <c r="DP16" s="158"/>
      <c r="DQ16" s="158"/>
      <c r="DR16" s="158"/>
      <c r="DS16" s="158"/>
      <c r="DT16" s="158"/>
      <c r="DU16" s="158" t="s">
        <v>609</v>
      </c>
      <c r="DV16" s="158"/>
      <c r="DW16" s="158"/>
      <c r="DX16" s="158"/>
      <c r="DY16" s="158"/>
      <c r="DZ16" s="158"/>
      <c r="EA16" s="158"/>
      <c r="EB16" s="158"/>
      <c r="EC16" s="158"/>
      <c r="ED16" s="158"/>
      <c r="EE16" s="158"/>
      <c r="EF16" s="158"/>
      <c r="EG16" s="158"/>
      <c r="EH16" s="158"/>
      <c r="EI16" s="158" t="s">
        <v>618</v>
      </c>
      <c r="EJ16" s="158"/>
      <c r="EK16" s="158"/>
      <c r="EL16" s="158"/>
      <c r="EM16" s="158"/>
      <c r="EN16" s="158"/>
      <c r="EO16" s="991" t="s">
        <v>783</v>
      </c>
      <c r="EP16" s="991" t="s">
        <v>787</v>
      </c>
      <c r="EQ16" s="991" t="s">
        <v>792</v>
      </c>
      <c r="ER16" s="1005">
        <v>1000</v>
      </c>
      <c r="ES16" s="1001"/>
      <c r="ET16" s="1145"/>
      <c r="EU16" s="1145"/>
      <c r="EV16" s="159" t="s">
        <v>833</v>
      </c>
      <c r="EW16" s="158"/>
      <c r="EX16" s="158"/>
      <c r="EY16" s="158"/>
    </row>
    <row r="17" spans="1:155" ht="14.25" customHeight="1">
      <c r="A17" s="7" t="s">
        <v>143</v>
      </c>
      <c r="B17" s="21" t="s">
        <v>402</v>
      </c>
      <c r="C17" s="22" t="s">
        <v>3</v>
      </c>
      <c r="D17" s="23" t="s">
        <v>82</v>
      </c>
      <c r="E17" s="21" t="s">
        <v>82</v>
      </c>
      <c r="F17" s="21" t="s">
        <v>138</v>
      </c>
      <c r="G17" s="6"/>
      <c r="H17" s="24"/>
      <c r="I17" s="25" t="s">
        <v>144</v>
      </c>
      <c r="J17" s="26" t="s">
        <v>827</v>
      </c>
      <c r="K17" s="26" t="s">
        <v>146</v>
      </c>
      <c r="L17" s="26" t="s">
        <v>788</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529</v>
      </c>
      <c r="AT17" s="472" t="s">
        <v>327</v>
      </c>
      <c r="AU17" s="151" t="s">
        <v>328</v>
      </c>
      <c r="AV17" s="472" t="s">
        <v>329</v>
      </c>
      <c r="AW17" s="151" t="s">
        <v>330</v>
      </c>
      <c r="AX17" s="472"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309</v>
      </c>
      <c r="BW17" s="157" t="s">
        <v>311</v>
      </c>
      <c r="BX17" s="157" t="s">
        <v>312</v>
      </c>
      <c r="BY17" s="176" t="s">
        <v>729</v>
      </c>
      <c r="BZ17" s="177" t="s">
        <v>739</v>
      </c>
      <c r="CA17" s="157"/>
      <c r="CB17" s="157"/>
      <c r="CC17" s="157"/>
      <c r="CD17" s="157"/>
      <c r="CE17" s="157"/>
      <c r="CF17" s="157"/>
      <c r="CG17" s="157"/>
      <c r="CH17" s="157"/>
      <c r="CI17" s="157" t="s">
        <v>507</v>
      </c>
      <c r="CJ17" s="157" t="s">
        <v>299</v>
      </c>
      <c r="CK17" s="157" t="s">
        <v>465</v>
      </c>
      <c r="CL17" s="157" t="s">
        <v>466</v>
      </c>
      <c r="CM17" s="157" t="s">
        <v>466</v>
      </c>
      <c r="CN17" s="157">
        <v>1175</v>
      </c>
      <c r="CO17" s="157">
        <v>1800</v>
      </c>
      <c r="CP17" s="292" t="s">
        <v>417</v>
      </c>
      <c r="CQ17" s="157" t="s">
        <v>738</v>
      </c>
      <c r="CR17" s="157"/>
      <c r="CS17" s="157" t="s">
        <v>622</v>
      </c>
      <c r="CT17" s="159"/>
      <c r="CU17" s="159"/>
      <c r="CV17" s="159" t="s">
        <v>314</v>
      </c>
      <c r="CW17" s="159" t="s">
        <v>338</v>
      </c>
      <c r="CX17" s="159" t="s">
        <v>341</v>
      </c>
      <c r="CY17" s="159"/>
      <c r="CZ17" s="159"/>
      <c r="DA17" s="159"/>
      <c r="DB17" s="323" t="s">
        <v>775</v>
      </c>
      <c r="DC17" s="329"/>
      <c r="DD17" s="159"/>
      <c r="DE17" s="330" t="s">
        <v>522</v>
      </c>
      <c r="DF17" s="330" t="s">
        <v>145</v>
      </c>
      <c r="DG17" s="159"/>
      <c r="DH17" s="157" t="s">
        <v>435</v>
      </c>
      <c r="DI17" s="157" t="s">
        <v>433</v>
      </c>
      <c r="DJ17" s="157" t="s">
        <v>434</v>
      </c>
      <c r="DK17" s="157"/>
      <c r="DL17" s="157"/>
      <c r="DM17" s="158"/>
      <c r="DN17" s="158"/>
      <c r="DO17" s="158"/>
      <c r="DP17" s="158"/>
      <c r="DQ17" s="158"/>
      <c r="DR17" s="158"/>
      <c r="DS17" s="158"/>
      <c r="DT17" s="158"/>
      <c r="DU17" s="158" t="s">
        <v>610</v>
      </c>
      <c r="DV17" s="158"/>
      <c r="DW17" s="158"/>
      <c r="DX17" s="158"/>
      <c r="DY17" s="158"/>
      <c r="DZ17" s="158"/>
      <c r="EA17" s="158"/>
      <c r="EB17" s="158" t="s">
        <v>616</v>
      </c>
      <c r="EC17" s="158" t="s">
        <v>619</v>
      </c>
      <c r="ED17" s="158"/>
      <c r="EE17" s="158">
        <v>1200</v>
      </c>
      <c r="EF17" s="158">
        <v>600</v>
      </c>
      <c r="EG17" s="158"/>
      <c r="EH17" s="158"/>
      <c r="EI17" s="158" t="s">
        <v>621</v>
      </c>
      <c r="EJ17" s="158"/>
      <c r="EK17" s="158"/>
      <c r="EL17" s="158"/>
      <c r="EM17" s="158"/>
      <c r="EN17" s="158"/>
      <c r="EO17" s="323" t="s">
        <v>775</v>
      </c>
      <c r="EP17" s="323" t="s">
        <v>146</v>
      </c>
      <c r="EQ17" s="323" t="s">
        <v>788</v>
      </c>
      <c r="ER17" s="1004">
        <v>1600</v>
      </c>
      <c r="ES17" s="342"/>
      <c r="ET17" s="1145"/>
      <c r="EU17" s="1145"/>
      <c r="EV17" s="159" t="s">
        <v>836</v>
      </c>
      <c r="EW17" s="158"/>
      <c r="EX17" s="158"/>
      <c r="EY17" s="158"/>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JBpBA7+4Jv3aWdfxCeCvvSlD007URflo88u0WNB1S6i+k5OA3VkOV01lpgxgw8oU1wA3vw7Vfst96i9lkfeO/Q==" saltValue="J4Nfhx9uQDG+uqVvkYazKw=="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K9" sqref="K9"/>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COMUNIDAD VALENCIANA</v>
      </c>
    </row>
    <row r="2" spans="1:74" ht="16.5" customHeight="1">
      <c r="C2" s="491" t="str">
        <f>Criterios!A10 &amp;"  "&amp;Criterios!B10 &amp; "  " &amp; IF(NOT(ISBLANK(Criterios!A11)),Criterios!A11 &amp;"  "&amp;Criterios!B11,"")</f>
        <v>Provincias  VALENCIA  Resumenes por Partidos Judiciales  XÀTIVA</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76" t="s">
        <v>351</v>
      </c>
      <c r="B5" s="275"/>
      <c r="C5" s="1510"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665</v>
      </c>
      <c r="L5" s="1483" t="s">
        <v>562</v>
      </c>
      <c r="M5" s="1483" t="s">
        <v>530</v>
      </c>
      <c r="N5" s="1483" t="s">
        <v>666</v>
      </c>
      <c r="O5" s="1515" t="s">
        <v>588</v>
      </c>
      <c r="P5" s="1483" t="s">
        <v>684</v>
      </c>
      <c r="Q5" s="1483" t="s">
        <v>679</v>
      </c>
      <c r="R5" s="1483" t="s">
        <v>168</v>
      </c>
      <c r="S5" s="1518" t="s">
        <v>676</v>
      </c>
      <c r="T5" s="1518" t="s">
        <v>678</v>
      </c>
      <c r="U5" s="1483" t="s">
        <v>591</v>
      </c>
      <c r="V5" s="1518" t="s">
        <v>563</v>
      </c>
      <c r="W5" s="1483" t="s">
        <v>771</v>
      </c>
      <c r="X5" s="1483" t="s">
        <v>772</v>
      </c>
      <c r="Y5" s="1486" t="s">
        <v>667</v>
      </c>
      <c r="Z5" s="1501" t="s">
        <v>613</v>
      </c>
      <c r="AA5" s="1504" t="s">
        <v>564</v>
      </c>
      <c r="AB5" s="1501" t="s">
        <v>565</v>
      </c>
      <c r="AC5" s="1501" t="s">
        <v>566</v>
      </c>
      <c r="AD5" s="1480" t="s">
        <v>668</v>
      </c>
      <c r="AE5" s="1480" t="s">
        <v>799</v>
      </c>
      <c r="AF5" s="1483" t="s">
        <v>680</v>
      </c>
      <c r="AG5" s="1483" t="s">
        <v>531</v>
      </c>
      <c r="AH5" s="1483" t="s">
        <v>669</v>
      </c>
      <c r="AI5" s="1483" t="s">
        <v>179</v>
      </c>
      <c r="AJ5" s="1483" t="s">
        <v>734</v>
      </c>
      <c r="AK5" s="1483" t="s">
        <v>532</v>
      </c>
      <c r="AL5" s="1483" t="s">
        <v>533</v>
      </c>
      <c r="AM5" s="1483" t="s">
        <v>685</v>
      </c>
      <c r="AN5" s="1483" t="s">
        <v>534</v>
      </c>
      <c r="AO5" s="1483" t="s">
        <v>535</v>
      </c>
      <c r="AP5" s="1483" t="s">
        <v>536</v>
      </c>
      <c r="AQ5" s="1483" t="s">
        <v>537</v>
      </c>
      <c r="AR5" s="1483" t="s">
        <v>670</v>
      </c>
      <c r="AS5" s="1483" t="s">
        <v>182</v>
      </c>
      <c r="AT5" s="1489" t="s">
        <v>180</v>
      </c>
      <c r="AU5" s="1483" t="s">
        <v>681</v>
      </c>
      <c r="AV5" s="1492" t="s">
        <v>682</v>
      </c>
      <c r="AW5" s="1495" t="s">
        <v>539</v>
      </c>
      <c r="AX5" s="1483" t="s">
        <v>540</v>
      </c>
      <c r="AY5" s="1483" t="s">
        <v>611</v>
      </c>
      <c r="AZ5" s="1498" t="s">
        <v>612</v>
      </c>
      <c r="BA5" s="1483" t="s">
        <v>568</v>
      </c>
      <c r="BB5" s="1492" t="s">
        <v>569</v>
      </c>
      <c r="BC5" s="1495" t="s">
        <v>183</v>
      </c>
      <c r="BD5" s="1483" t="s">
        <v>570</v>
      </c>
      <c r="BE5" s="1483" t="s">
        <v>247</v>
      </c>
      <c r="BF5" s="1483" t="s">
        <v>248</v>
      </c>
      <c r="BG5" s="1483" t="s">
        <v>249</v>
      </c>
      <c r="BH5" s="1483" t="s">
        <v>571</v>
      </c>
      <c r="BI5" s="1483" t="s">
        <v>250</v>
      </c>
      <c r="BJ5" s="1483" t="s">
        <v>572</v>
      </c>
      <c r="BK5" s="1483" t="s">
        <v>586</v>
      </c>
      <c r="BL5" s="1483" t="s">
        <v>573</v>
      </c>
      <c r="BM5" s="1483" t="s">
        <v>574</v>
      </c>
      <c r="BN5" s="1483" t="s">
        <v>599</v>
      </c>
      <c r="BO5" s="1483" t="s">
        <v>592</v>
      </c>
      <c r="BP5" s="1483" t="s">
        <v>839</v>
      </c>
      <c r="BQ5" s="1483" t="s">
        <v>842</v>
      </c>
      <c r="BR5" s="1483" t="s">
        <v>844</v>
      </c>
      <c r="BS5" s="1483" t="s">
        <v>593</v>
      </c>
      <c r="BT5" s="1483" t="s">
        <v>575</v>
      </c>
      <c r="BU5" s="1483" t="s">
        <v>538</v>
      </c>
      <c r="BV5" s="1507" t="s">
        <v>773</v>
      </c>
    </row>
    <row r="6" spans="1:74" ht="21.75" customHeight="1">
      <c r="A6" s="1277"/>
      <c r="B6" s="276"/>
      <c r="C6" s="1511"/>
      <c r="D6" s="1484"/>
      <c r="E6" s="1484"/>
      <c r="F6" s="1513"/>
      <c r="G6" s="1484"/>
      <c r="H6" s="1484"/>
      <c r="I6" s="1484"/>
      <c r="J6" s="1484"/>
      <c r="K6" s="1484"/>
      <c r="L6" s="1484"/>
      <c r="M6" s="1484"/>
      <c r="N6" s="1484"/>
      <c r="O6" s="1516"/>
      <c r="P6" s="1484"/>
      <c r="Q6" s="1484"/>
      <c r="R6" s="1484"/>
      <c r="S6" s="1519"/>
      <c r="T6" s="1519"/>
      <c r="U6" s="1484"/>
      <c r="V6" s="1519"/>
      <c r="W6" s="1484"/>
      <c r="X6" s="1484"/>
      <c r="Y6" s="1487"/>
      <c r="Z6" s="1502"/>
      <c r="AA6" s="1505"/>
      <c r="AB6" s="1502"/>
      <c r="AC6" s="1502"/>
      <c r="AD6" s="1481"/>
      <c r="AE6" s="1481"/>
      <c r="AF6" s="1484"/>
      <c r="AG6" s="1484"/>
      <c r="AH6" s="1484"/>
      <c r="AI6" s="1484"/>
      <c r="AJ6" s="1484"/>
      <c r="AK6" s="1484"/>
      <c r="AL6" s="1484"/>
      <c r="AM6" s="1484"/>
      <c r="AN6" s="1484"/>
      <c r="AO6" s="1484"/>
      <c r="AP6" s="1484"/>
      <c r="AQ6" s="1484"/>
      <c r="AR6" s="1484"/>
      <c r="AS6" s="1484"/>
      <c r="AT6" s="1490"/>
      <c r="AU6" s="1484"/>
      <c r="AV6" s="1493"/>
      <c r="AW6" s="1496"/>
      <c r="AX6" s="1484"/>
      <c r="AY6" s="1484"/>
      <c r="AZ6" s="1499"/>
      <c r="BA6" s="1484"/>
      <c r="BB6" s="1493"/>
      <c r="BC6" s="1496"/>
      <c r="BD6" s="1484"/>
      <c r="BE6" s="1484"/>
      <c r="BF6" s="1484"/>
      <c r="BG6" s="1484"/>
      <c r="BH6" s="1484"/>
      <c r="BI6" s="1484"/>
      <c r="BJ6" s="1484"/>
      <c r="BK6" s="1484"/>
      <c r="BL6" s="1484"/>
      <c r="BM6" s="1484"/>
      <c r="BN6" s="1484"/>
      <c r="BO6" s="1484"/>
      <c r="BP6" s="1484"/>
      <c r="BQ6" s="1484"/>
      <c r="BR6" s="1484"/>
      <c r="BS6" s="1484"/>
      <c r="BT6" s="1484"/>
      <c r="BU6" s="1484"/>
      <c r="BV6" s="1508"/>
    </row>
    <row r="7" spans="1:74" ht="38.25" customHeight="1" thickBot="1">
      <c r="A7" s="1278"/>
      <c r="B7" s="277"/>
      <c r="C7" s="267" t="str">
        <f>Datos!A7</f>
        <v>COMPETENCIAS</v>
      </c>
      <c r="D7" s="1485"/>
      <c r="E7" s="1485"/>
      <c r="F7" s="1514"/>
      <c r="G7" s="1485"/>
      <c r="H7" s="1485"/>
      <c r="I7" s="1485"/>
      <c r="J7" s="1485"/>
      <c r="K7" s="1485"/>
      <c r="L7" s="1485"/>
      <c r="M7" s="1485"/>
      <c r="N7" s="1485"/>
      <c r="O7" s="1517"/>
      <c r="P7" s="1485"/>
      <c r="Q7" s="1485"/>
      <c r="R7" s="1485"/>
      <c r="S7" s="1520"/>
      <c r="T7" s="1520"/>
      <c r="U7" s="1485"/>
      <c r="V7" s="1520"/>
      <c r="W7" s="1485"/>
      <c r="X7" s="1485"/>
      <c r="Y7" s="1488"/>
      <c r="Z7" s="1503"/>
      <c r="AA7" s="1506"/>
      <c r="AB7" s="1503"/>
      <c r="AC7" s="1503"/>
      <c r="AD7" s="1482"/>
      <c r="AE7" s="1482"/>
      <c r="AF7" s="1485"/>
      <c r="AG7" s="1485"/>
      <c r="AH7" s="1485"/>
      <c r="AI7" s="1485"/>
      <c r="AJ7" s="1485"/>
      <c r="AK7" s="1485"/>
      <c r="AL7" s="1485"/>
      <c r="AM7" s="1485"/>
      <c r="AN7" s="1485"/>
      <c r="AO7" s="1485"/>
      <c r="AP7" s="1485"/>
      <c r="AQ7" s="1485"/>
      <c r="AR7" s="1485"/>
      <c r="AS7" s="1485"/>
      <c r="AT7" s="1491"/>
      <c r="AU7" s="1485"/>
      <c r="AV7" s="1494"/>
      <c r="AW7" s="1497"/>
      <c r="AX7" s="1485"/>
      <c r="AY7" s="1485"/>
      <c r="AZ7" s="1500"/>
      <c r="BA7" s="1485"/>
      <c r="BB7" s="1494"/>
      <c r="BC7" s="1497"/>
      <c r="BD7" s="1485"/>
      <c r="BE7" s="1485"/>
      <c r="BF7" s="1485"/>
      <c r="BG7" s="1485"/>
      <c r="BH7" s="1485"/>
      <c r="BI7" s="1485"/>
      <c r="BJ7" s="1485"/>
      <c r="BK7" s="1485"/>
      <c r="BL7" s="1485"/>
      <c r="BM7" s="1485"/>
      <c r="BN7" s="1485"/>
      <c r="BO7" s="1485"/>
      <c r="BP7" s="1485"/>
      <c r="BQ7" s="1485"/>
      <c r="BR7" s="1485"/>
      <c r="BS7" s="1485"/>
      <c r="BT7" s="1485"/>
      <c r="BU7" s="1485"/>
      <c r="BV7" s="1509"/>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246</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1200</v>
      </c>
    </row>
    <row r="10" spans="1:74" ht="14.25">
      <c r="A10" s="504">
        <f>Datos!AO10</f>
        <v>1</v>
      </c>
      <c r="B10" s="510" t="s">
        <v>246</v>
      </c>
      <c r="C10" s="7" t="str">
        <f>Datos!A10</f>
        <v>Jdos. Violencia contra la mujer</v>
      </c>
      <c r="D10" s="511"/>
      <c r="E10" s="263">
        <f>IF(ISNUMBER(Datos!AQ10),Datos!AQ10," - ")</f>
        <v>0</v>
      </c>
      <c r="F10" s="228">
        <f>IF(ISNUMBER(Datos!L10+Datos!K10-Datos!J10),Datos!L10+Datos!K10-Datos!J10," - ")</f>
        <v>9</v>
      </c>
      <c r="G10" s="336">
        <f>IF(ISNUMBER(Datos!I10),Datos!I10," - ")</f>
        <v>9</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6</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16</v>
      </c>
      <c r="AC10" s="229">
        <f>IF(ISNUMBER(Datos!Q10),Datos!Q10," - ")</f>
        <v>6</v>
      </c>
      <c r="AD10" s="337"/>
      <c r="AE10" s="487"/>
      <c r="AF10" s="335">
        <f>IF(ISNUMBER(Datos!L10),Datos!L10,"-")</f>
        <v>10</v>
      </c>
      <c r="AG10" s="337"/>
      <c r="AH10" s="337"/>
      <c r="AI10" s="337"/>
      <c r="AJ10" s="337"/>
      <c r="AK10" s="337"/>
      <c r="AL10" s="482"/>
      <c r="AM10" s="338">
        <f>IF(ISNUMBER(Datos!R10),Datos!R10," - ")</f>
        <v>18</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15</v>
      </c>
      <c r="BD10" s="232">
        <f>IF(ISNUMBER(Datos!N10),Datos!N10," - ")</f>
        <v>1</v>
      </c>
      <c r="BE10" s="232" t="str">
        <f>IF(ISNUMBER(Datos!BW10),Datos!BW10," - ")</f>
        <v xml:space="preserve"> - </v>
      </c>
      <c r="BF10" s="231" t="str">
        <f>IF(ISNUMBER(Datos!BX10),Datos!BX10," - ")</f>
        <v xml:space="preserve"> - </v>
      </c>
      <c r="BG10" s="246">
        <f>IF(ISNUMBER(Datos!K10/Datos!J10),Datos!K10/Datos!J10," - ")</f>
        <v>0.94117647058823528</v>
      </c>
      <c r="BH10" s="263">
        <f>IF(ISNUMBER(((Datos!L10/Datos!K10)*11)/factor_trimestre),((Datos!L10/Datos!K10)*11)/factor_trimestre," - ")</f>
        <v>6.875</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0</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1600</v>
      </c>
    </row>
    <row r="11" spans="1:74" ht="14.25">
      <c r="A11" s="504">
        <f>Datos!AO11</f>
        <v>0</v>
      </c>
      <c r="B11" s="510" t="s">
        <v>246</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IF(ISNUMBER((I11-AB11+L11)/(F11)),(I11-AB11+L11)/(F11),"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1323</v>
      </c>
    </row>
    <row r="12" spans="1:74" ht="15" thickBot="1">
      <c r="A12" s="504">
        <f>Datos!AO12</f>
        <v>4</v>
      </c>
      <c r="B12" s="510" t="s">
        <v>246</v>
      </c>
      <c r="C12" s="7" t="str">
        <f>Datos!A12</f>
        <v xml:space="preserve">Jdos. 1ª Instª. e Instr.                        </v>
      </c>
      <c r="D12" s="511"/>
      <c r="E12" s="263">
        <f>IF(ISNUMBER(Datos!AQ12),Datos!AQ12," - ")</f>
        <v>4</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358</v>
      </c>
      <c r="O12" s="337"/>
      <c r="P12" s="337"/>
      <c r="Q12" s="229">
        <f>IF(ISNUMBER(Datos!P12),Datos!P12,0)</f>
        <v>641</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276</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127</v>
      </c>
      <c r="AI12" s="337" t="str">
        <f>IF(ISNUMBER(Datos!CD12),Datos!CD12,"-")</f>
        <v>-</v>
      </c>
      <c r="AJ12" s="337" t="str">
        <f>IF(ISNUMBER(Datos!EN12),Datos!EN12," - ")</f>
        <v xml:space="preserve"> - </v>
      </c>
      <c r="AK12" s="337"/>
      <c r="AL12" s="482"/>
      <c r="AM12" s="338">
        <f>IF(ISNUMBER(Datos!R12),Datos!R12," - ")</f>
        <v>3453</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589</v>
      </c>
      <c r="BD12" s="232">
        <f>IF(ISNUMBER(Datos!N12),Datos!N12," - ")</f>
        <v>1086</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0.85319410319410316</v>
      </c>
      <c r="BH12" s="263">
        <f>IF(ISNUMBER(((IF(J_V="SI",Datos!L12/Datos!K12,(Datos!L12+Datos!AB12)/(Datos!K12+Datos!AA12)))*11)/factor_trimestre),((IF(J_V="SI",Datos!L12/Datos!K12,(Datos!L12+Datos!AB12)/(Datos!K12+Datos!AA12)))*11)/factor_trimestre," - ")</f>
        <v>7.6342692584593239</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0.11819948186528498</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680</v>
      </c>
    </row>
    <row r="13" spans="1:74" ht="15.75" thickTop="1" thickBot="1">
      <c r="A13" s="181"/>
      <c r="B13" s="181"/>
      <c r="C13" s="866" t="str">
        <f>Datos!A13</f>
        <v>TOTAL</v>
      </c>
      <c r="D13" s="900"/>
      <c r="E13" s="1167">
        <f t="shared" ref="E13:Z13" si="0">SUBTOTAL(9,E8:E12)</f>
        <v>4</v>
      </c>
      <c r="F13" s="901">
        <f t="shared" si="0"/>
        <v>9</v>
      </c>
      <c r="G13" s="901">
        <f t="shared" si="0"/>
        <v>9</v>
      </c>
      <c r="H13" s="902">
        <f t="shared" si="0"/>
        <v>0</v>
      </c>
      <c r="I13" s="901">
        <f t="shared" si="0"/>
        <v>0</v>
      </c>
      <c r="J13" s="870">
        <f t="shared" si="0"/>
        <v>0</v>
      </c>
      <c r="K13" s="870">
        <f t="shared" si="0"/>
        <v>0</v>
      </c>
      <c r="L13" s="902">
        <f t="shared" si="0"/>
        <v>0</v>
      </c>
      <c r="M13" s="902">
        <f t="shared" si="0"/>
        <v>0</v>
      </c>
      <c r="N13" s="902">
        <f t="shared" si="0"/>
        <v>358</v>
      </c>
      <c r="O13" s="903">
        <f t="shared" si="0"/>
        <v>0</v>
      </c>
      <c r="P13" s="903">
        <f t="shared" si="0"/>
        <v>0</v>
      </c>
      <c r="Q13" s="902">
        <f t="shared" si="0"/>
        <v>647</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16</v>
      </c>
      <c r="AC13" s="902">
        <f t="shared" si="1"/>
        <v>282</v>
      </c>
      <c r="AD13" s="902">
        <f t="shared" si="1"/>
        <v>0</v>
      </c>
      <c r="AE13" s="902">
        <f t="shared" si="1"/>
        <v>0</v>
      </c>
      <c r="AF13" s="902">
        <f t="shared" si="1"/>
        <v>10</v>
      </c>
      <c r="AG13" s="902">
        <f t="shared" si="1"/>
        <v>0</v>
      </c>
      <c r="AH13" s="902">
        <f t="shared" si="1"/>
        <v>127</v>
      </c>
      <c r="AI13" s="902">
        <f t="shared" si="1"/>
        <v>0</v>
      </c>
      <c r="AJ13" s="902">
        <f t="shared" si="1"/>
        <v>0</v>
      </c>
      <c r="AK13" s="902">
        <f t="shared" si="1"/>
        <v>0</v>
      </c>
      <c r="AL13" s="902">
        <f t="shared" si="1"/>
        <v>0</v>
      </c>
      <c r="AM13" s="902">
        <f t="shared" si="1"/>
        <v>3471</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604</v>
      </c>
      <c r="BD13" s="902">
        <f t="shared" si="1"/>
        <v>1087</v>
      </c>
      <c r="BE13" s="902">
        <f t="shared" si="1"/>
        <v>0</v>
      </c>
      <c r="BF13" s="902">
        <f t="shared" si="1"/>
        <v>0</v>
      </c>
      <c r="BG13" s="902">
        <f>IF(ISNUMBER(Datos!K13/Datos!J13),Datos!K13/Datos!J13," - ")</f>
        <v>0.83979416809605489</v>
      </c>
      <c r="BH13" s="906">
        <f>IF(ISNUMBER(((Datos!L13/Datos!K13)*11)/factor_trimestre),((Datos!L13/Datos!K13)*11)/factor_trimestre," - ")</f>
        <v>8.1376633986928102</v>
      </c>
      <c r="BI13" s="902">
        <f>IF(ISNUMBER('Resol  Asuntos'!D13/NºAsuntos!G13),'Resol  Asuntos'!D13/NºAsuntos!G13," - ")</f>
        <v>0.21617752326413744</v>
      </c>
      <c r="BJ13" s="902" t="str">
        <f>IF(ISNUMBER(Datos!CI13/Datos!CJ13),Datos!CI13/Datos!CJ13," - ")</f>
        <v xml:space="preserve"> - </v>
      </c>
      <c r="BK13" s="902">
        <f>SUBTOTAL(9,BK8:BK12)</f>
        <v>0</v>
      </c>
      <c r="BL13" s="902">
        <f>IF(ISNUMBER((I13-AB13+L13)/(F13)),(I13-AB13+L13)/(F13)," - ")</f>
        <v>-1.7777777777777777</v>
      </c>
      <c r="BM13" s="907">
        <f>SUBTOTAL(9,BM9:BM12)</f>
        <v>0.11819948186528498</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4803</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396</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3300</v>
      </c>
    </row>
    <row r="16" spans="1:74" s="602" customFormat="1" ht="14.25">
      <c r="A16" s="596">
        <f>Datos!AO16</f>
        <v>4</v>
      </c>
      <c r="B16" s="597" t="s">
        <v>396</v>
      </c>
      <c r="C16" s="603" t="str">
        <f>Datos!A16</f>
        <v xml:space="preserve">Jdos. 1ª Instª. e Instr.                        </v>
      </c>
      <c r="D16" s="604"/>
      <c r="E16" s="1168">
        <f>IF(ISNUMBER(Datos!AQ16),Datos!AQ16," - ")</f>
        <v>4</v>
      </c>
      <c r="F16" s="598">
        <f>IF(ISNUMBER(AF16+AB16-Datos!J16-L16),AF16+AB16-Datos!J16-L16," - ")</f>
        <v>1183</v>
      </c>
      <c r="G16" s="601">
        <f>IF(ISNUMBER(IF(D_I="SI",Datos!I16,Datos!I16+Datos!AC16)),IF(D_I="SI",Datos!I16,Datos!I16+Datos!AC16)," - ")</f>
        <v>1182</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112</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2942</v>
      </c>
      <c r="AC16" s="229">
        <f>IF(ISNUMBER(Datos!Q16),Datos!Q16," - ")</f>
        <v>124</v>
      </c>
      <c r="AD16" s="337"/>
      <c r="AE16" s="487"/>
      <c r="AF16" s="599">
        <f>IF(ISNUMBER(IF(D_I="SI",Datos!L16,Datos!L16+Datos!AF16)),IF(D_I="SI",Datos!L16,Datos!L16+Datos!AF16)," - ")</f>
        <v>1379</v>
      </c>
      <c r="AG16" s="337"/>
      <c r="AH16" s="337"/>
      <c r="AI16" s="337"/>
      <c r="AJ16" s="337"/>
      <c r="AK16" s="337"/>
      <c r="AL16" s="482"/>
      <c r="AM16" s="338">
        <f>IF(ISNUMBER(Datos!R16),Datos!R16," - ")</f>
        <v>136</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526</v>
      </c>
      <c r="BD16" s="232">
        <f>IF(ISNUMBER(Datos!N16),Datos!N16," - ")</f>
        <v>1869</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0.93753983428935628</v>
      </c>
      <c r="BH16" s="263">
        <f>IF(ISNUMBER(((IF(D_I="SI",Datos!L16/Datos!K16,(Datos!L16+Datos!AF16)/(Datos!K16+Datos!AE16)))*11)/factor_trimestre),((IF(D_I="SI",Datos!L16/Datos!K16,(Datos!L16+Datos!AF16)/(Datos!K16+Datos!AE16)))*11)/factor_trimestre," - ")</f>
        <v>5.1560163154316792</v>
      </c>
      <c r="BI16" s="246">
        <f>IF(ISNUMBER('Resol  Asuntos'!D16/NºAsuntos!G16),'Resol  Asuntos'!D16/NºAsuntos!G16," - ")</f>
        <v>0.17878993881713121</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1000</v>
      </c>
    </row>
    <row r="17" spans="1:74" ht="15" thickBot="1">
      <c r="A17" s="504">
        <f>Datos!AO17</f>
        <v>1</v>
      </c>
      <c r="B17" s="510" t="s">
        <v>396</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66</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3</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80</v>
      </c>
      <c r="AC17" s="229">
        <f>IF(ISNUMBER(Datos!Q17),Datos!Q17," - ")</f>
        <v>2</v>
      </c>
      <c r="AD17" s="337"/>
      <c r="AE17" s="487"/>
      <c r="AF17" s="335">
        <f>IF(ISNUMBER(Datos!L17),Datos!L17,"-")</f>
        <v>29</v>
      </c>
      <c r="AG17" s="337"/>
      <c r="AH17" s="337"/>
      <c r="AI17" s="337"/>
      <c r="AJ17" s="337"/>
      <c r="AK17" s="337"/>
      <c r="AL17" s="482"/>
      <c r="AM17" s="338">
        <f>IF(ISNUMBER(Datos!R17),Datos!R17," - ")</f>
        <v>3</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15</v>
      </c>
      <c r="BD17" s="232">
        <f>IF(ISNUMBER(Datos!N17),Datos!N17," - ")</f>
        <v>55</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1.8604651162790697</v>
      </c>
      <c r="BH17" s="263">
        <f>IF(ISNUMBER(((IF(D_I="SI",Datos!L17/Datos!K17,(Datos!L17+Datos!AF17)/(Datos!K17+Datos!AE17)))*11)/factor_trimestre),((IF(D_I="SI",Datos!L17/Datos!K17,(Datos!L17+Datos!AF17)/(Datos!K17+Datos!AE17)))*11)/factor_trimestre," - ")</f>
        <v>3.9874999999999998</v>
      </c>
      <c r="BI17" s="246">
        <f>IF(ISNUMBER('Resol  Asuntos'!D17/NºAsuntos!G17),'Resol  Asuntos'!D17/NºAsuntos!G17," - ")</f>
        <v>0.1875</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1600</v>
      </c>
    </row>
    <row r="18" spans="1:74" ht="15.75" thickTop="1" thickBot="1">
      <c r="A18" s="181"/>
      <c r="B18" s="181"/>
      <c r="C18" s="866" t="str">
        <f>Datos!A18</f>
        <v>TOTAL</v>
      </c>
      <c r="D18" s="900"/>
      <c r="E18" s="1167">
        <f>SUBTOTAL(9,E15:E17)</f>
        <v>4</v>
      </c>
      <c r="F18" s="901">
        <f>SUBTOTAL(9,F15:F17)</f>
        <v>1183</v>
      </c>
      <c r="G18" s="901">
        <f>SUBTOTAL(9,G15:G17)</f>
        <v>1248</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115</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3022</v>
      </c>
      <c r="AC18" s="902">
        <f t="shared" si="4"/>
        <v>126</v>
      </c>
      <c r="AD18" s="902">
        <f t="shared" si="4"/>
        <v>0</v>
      </c>
      <c r="AE18" s="902">
        <f t="shared" si="4"/>
        <v>0</v>
      </c>
      <c r="AF18" s="902">
        <f t="shared" si="4"/>
        <v>1408</v>
      </c>
      <c r="AG18" s="902">
        <f t="shared" si="4"/>
        <v>0</v>
      </c>
      <c r="AH18" s="902">
        <f t="shared" si="4"/>
        <v>0</v>
      </c>
      <c r="AI18" s="902">
        <f t="shared" si="4"/>
        <v>0</v>
      </c>
      <c r="AJ18" s="902">
        <f t="shared" si="4"/>
        <v>0</v>
      </c>
      <c r="AK18" s="902">
        <f t="shared" si="4"/>
        <v>0</v>
      </c>
      <c r="AL18" s="902">
        <f t="shared" si="4"/>
        <v>0</v>
      </c>
      <c r="AM18" s="902">
        <f t="shared" si="4"/>
        <v>139</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541</v>
      </c>
      <c r="BD18" s="902">
        <f t="shared" si="4"/>
        <v>1924</v>
      </c>
      <c r="BE18" s="902">
        <f t="shared" si="4"/>
        <v>0</v>
      </c>
      <c r="BF18" s="902">
        <f t="shared" si="4"/>
        <v>0</v>
      </c>
      <c r="BG18" s="902">
        <f>IF(ISNUMBER(Datos!K18/Datos!J18),Datos!K18/Datos!J18," - ")</f>
        <v>0.95001571832756992</v>
      </c>
      <c r="BH18" s="906">
        <f>IF(ISNUMBER(((Datos!L18/Datos!K18)*11)/factor_trimestre),((Datos!L18/Datos!K18)*11)/factor_trimestre," - ")</f>
        <v>5.1250827266710788</v>
      </c>
      <c r="BI18" s="902">
        <f>SUBTOTAL(9,BI15:BI17)</f>
        <v>0.36628993881713123</v>
      </c>
      <c r="BJ18" s="902">
        <f>SUBTOTAL(9,BJ15:BJ17)</f>
        <v>0</v>
      </c>
      <c r="BK18" s="902">
        <f>SUBTOTAL(9,BK15:BK17)</f>
        <v>0</v>
      </c>
      <c r="BL18" s="902">
        <f>IF(ISNUMBER((I18-AB18+L18)/(F18)),(I18-AB18+L18)/(F18)," - ")</f>
        <v>-2.5545224006762468</v>
      </c>
      <c r="BM18" s="908">
        <f>IF(ISNUMBER((Datos!P18-Datos!Q18)/(Datos!R18-Datos!P18+Datos!Q18)),(Datos!P18-Datos!Q18)/(Datos!R18-Datos!P18+Datos!Q18)," - ")</f>
        <v>-7.3333333333333334E-2</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5900</v>
      </c>
    </row>
    <row r="19" spans="1:74" ht="18.75" customHeight="1" thickTop="1" thickBot="1">
      <c r="A19" s="175"/>
      <c r="B19" s="175"/>
      <c r="C19" s="821" t="str">
        <f>Datos!A19</f>
        <v>TOTAL JURISDICCIONES</v>
      </c>
      <c r="D19" s="821"/>
      <c r="E19" s="1169">
        <f t="shared" ref="E19:R19" si="6">SUBTOTAL(9,E9:E18)</f>
        <v>8</v>
      </c>
      <c r="F19" s="823">
        <f t="shared" si="6"/>
        <v>1192</v>
      </c>
      <c r="G19" s="823">
        <f t="shared" si="6"/>
        <v>1257</v>
      </c>
      <c r="H19" s="825">
        <f t="shared" si="6"/>
        <v>0</v>
      </c>
      <c r="I19" s="823">
        <f t="shared" si="6"/>
        <v>0</v>
      </c>
      <c r="J19" s="825">
        <f t="shared" si="6"/>
        <v>0</v>
      </c>
      <c r="K19" s="825">
        <f t="shared" si="6"/>
        <v>0</v>
      </c>
      <c r="L19" s="884">
        <f t="shared" si="6"/>
        <v>0</v>
      </c>
      <c r="M19" s="884">
        <f t="shared" si="6"/>
        <v>0</v>
      </c>
      <c r="N19" s="884">
        <f t="shared" si="6"/>
        <v>358</v>
      </c>
      <c r="O19" s="884">
        <f t="shared" si="6"/>
        <v>0</v>
      </c>
      <c r="P19" s="884">
        <f t="shared" si="6"/>
        <v>0</v>
      </c>
      <c r="Q19" s="825">
        <f t="shared" si="6"/>
        <v>762</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3038</v>
      </c>
      <c r="AC19" s="824">
        <f t="shared" si="7"/>
        <v>408</v>
      </c>
      <c r="AD19" s="824">
        <f t="shared" si="7"/>
        <v>0</v>
      </c>
      <c r="AE19" s="824">
        <f t="shared" si="7"/>
        <v>0</v>
      </c>
      <c r="AF19" s="831">
        <f t="shared" si="7"/>
        <v>1418</v>
      </c>
      <c r="AG19" s="831">
        <f t="shared" si="7"/>
        <v>0</v>
      </c>
      <c r="AH19" s="831">
        <f t="shared" si="7"/>
        <v>127</v>
      </c>
      <c r="AI19" s="831">
        <f t="shared" si="7"/>
        <v>0</v>
      </c>
      <c r="AJ19" s="824">
        <f t="shared" si="7"/>
        <v>0</v>
      </c>
      <c r="AK19" s="831">
        <f t="shared" si="7"/>
        <v>0</v>
      </c>
      <c r="AL19" s="831">
        <f t="shared" si="7"/>
        <v>0</v>
      </c>
      <c r="AM19" s="831">
        <f t="shared" si="7"/>
        <v>3610</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1145</v>
      </c>
      <c r="BD19" s="823">
        <f t="shared" si="7"/>
        <v>3011</v>
      </c>
      <c r="BE19" s="823">
        <f t="shared" si="7"/>
        <v>0</v>
      </c>
      <c r="BF19" s="833">
        <f t="shared" si="7"/>
        <v>0</v>
      </c>
      <c r="BG19" s="918">
        <f>IF(ISNUMBER(Datos!K19/Datos!J19),Datos!K19/Datos!J19," - ")</f>
        <v>0.89730971128608927</v>
      </c>
      <c r="BH19" s="918">
        <f>IF(ISNUMBER(((Datos!L19/Datos!K19)*11)/factor_trimestre),((Datos!L19/Datos!K19)*11)/factor_trimestre," - ")</f>
        <v>6.4733089579524679</v>
      </c>
      <c r="BI19" s="816">
        <f>IF(ISNUMBER(Datos!J19/Datos!I19),Datos!J19/Datos!I19," - ")</f>
        <v>2.3518518518518516</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-2.5486577181208054</v>
      </c>
      <c r="BM19" s="892">
        <f>IF(ISNUMBER((Datos!P19-Datos!Q19+R19)/(Datos!R19-Datos!P19+Datos!Q19-R19)),(Datos!P19-Datos!Q19+R19)/(Datos!R19-Datos!P19+Datos!Q19-R19)," - ")</f>
        <v>0.10872235872235872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10703</v>
      </c>
    </row>
    <row r="20" spans="1:74" ht="18.75" customHeight="1" thickTop="1" thickBot="1">
      <c r="A20" s="170"/>
      <c r="B20" s="170"/>
      <c r="C20" s="841" t="s">
        <v>264</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502.8</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265</v>
      </c>
      <c r="D21" s="485"/>
      <c r="E21" s="520">
        <f>IF(ISNUMBER(STDEV(E8:E18)),STDEV(E8:E18),"-")</f>
        <v>2.1081851067789197</v>
      </c>
      <c r="F21" s="554">
        <f>IF(ISNUMBER(STDEV(F8:F18)),STDEV(F8:F18),"-")</f>
        <v>677.80921602862065</v>
      </c>
      <c r="G21" s="555">
        <f>IF(ISNUMBER(STDEV(G8:G18)),STDEV(G8:G18),"-")</f>
        <v>650.98133613798791</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1613.3199310738091</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285.49162276092562</v>
      </c>
      <c r="BD21" s="554"/>
      <c r="BE21" s="554">
        <f>IF(ISNUMBER(STDEV(BE8:BE18)),STDEV(BE8:BE18),"-")</f>
        <v>0</v>
      </c>
      <c r="BF21" s="559">
        <f>IF(ISNUMBER(STDEV(BF8:BF18)),STDEV(BF8:BF18),"-")</f>
        <v>0</v>
      </c>
      <c r="BG21" s="778">
        <f>IF(ISNUMBER(STDEV(BG8:BG18)),STDEV(BG8:BG18),"-")</f>
        <v>0.3932260731959184</v>
      </c>
      <c r="BH21" s="779">
        <f>IF(ISNUMBER(STDEV(BH8:BH18)),STDEV(BH8:BH18),"-")</f>
        <v>1.636723009238453</v>
      </c>
      <c r="BI21" s="252">
        <f>IF(ISNUMBER(STDEV(BI8:BI18)),STDEV(BI8:BI18),"-")</f>
        <v>8.7536624003206359E-2</v>
      </c>
      <c r="BJ21" s="233" t="str">
        <f>IF(ISNUMBER(BL21/BM21),BL21/BM21," - ")</f>
        <v xml:space="preserve"> - </v>
      </c>
      <c r="BK21" s="578"/>
      <c r="BL21" s="562">
        <f>IF(ISNUMBER(STDEV(BL8:BL18)),STDEV(BL8:BL18),"-")</f>
        <v>0.54924139010169204</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1858.3781982626083</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424</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262</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263</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03 may. 2024</v>
      </c>
    </row>
    <row r="32" spans="1:74">
      <c r="C32" s="530"/>
      <c r="D32" s="530"/>
    </row>
  </sheetData>
  <sheetProtection algorithmName="SHA-512" hashValue="vmmeJPlY1S7NsUqEjlK8xoh54899J6u1MiExN+JOKSHVTWr0A2RgNj9k9v6maS/jnOnyOXy+JEuZivU69jCahg==" saltValue="Az1imKuR2IZ+DKKxRiXuW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COMUNIDAD VALENCIANA</v>
      </c>
    </row>
    <row r="2" spans="1:73" ht="16.5" customHeight="1">
      <c r="C2" s="531" t="str">
        <f>Criterios!A10 &amp;"  "&amp;Criterios!B10 &amp; "  " &amp; IF(NOT(ISBLANK(Criterios!A11)),Criterios!A11 &amp;"  "&amp;Criterios!B11,"")</f>
        <v>Provincias  VALENCIA  Resumenes por Partidos Judiciales  XÀTIVA</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76" t="s">
        <v>351</v>
      </c>
      <c r="B5" s="275"/>
      <c r="C5" s="1521" t="str">
        <f>"Año:  " &amp;Criterios!B$5 &amp; "          Trimestre   " &amp;Criterios!D$5 &amp; " al " &amp;Criterios!D$6</f>
        <v>Año:  2023          Trimestre   1 al 4</v>
      </c>
      <c r="D5" s="1523" t="s">
        <v>376</v>
      </c>
      <c r="E5" s="1483" t="s">
        <v>560</v>
      </c>
      <c r="F5" s="1512" t="s">
        <v>406</v>
      </c>
      <c r="G5" s="1483" t="s">
        <v>128</v>
      </c>
      <c r="H5" s="1483" t="s">
        <v>590</v>
      </c>
      <c r="I5" s="1483" t="s">
        <v>561</v>
      </c>
      <c r="J5" s="1483" t="s">
        <v>683</v>
      </c>
      <c r="K5" s="1483" t="s">
        <v>562</v>
      </c>
      <c r="L5" s="1483" t="s">
        <v>588</v>
      </c>
      <c r="M5" s="1483" t="s">
        <v>684</v>
      </c>
      <c r="N5" s="1483" t="s">
        <v>587</v>
      </c>
      <c r="O5" s="1483" t="s">
        <v>614</v>
      </c>
      <c r="P5" s="1518" t="s">
        <v>676</v>
      </c>
      <c r="Q5" s="1518" t="s">
        <v>678</v>
      </c>
      <c r="R5" s="1483" t="s">
        <v>594</v>
      </c>
      <c r="S5" s="1483" t="s">
        <v>563</v>
      </c>
      <c r="T5" s="1483" t="s">
        <v>771</v>
      </c>
      <c r="U5" s="1483" t="s">
        <v>772</v>
      </c>
      <c r="V5" s="1486" t="s">
        <v>667</v>
      </c>
      <c r="W5" s="1501" t="s">
        <v>576</v>
      </c>
      <c r="X5" s="1504" t="s">
        <v>577</v>
      </c>
      <c r="Y5" s="1480" t="s">
        <v>595</v>
      </c>
      <c r="Z5" s="1480" t="s">
        <v>615</v>
      </c>
      <c r="AA5" s="1483" t="s">
        <v>567</v>
      </c>
      <c r="AB5" s="1483" t="s">
        <v>578</v>
      </c>
      <c r="AC5" s="1483" t="s">
        <v>579</v>
      </c>
      <c r="AD5" s="1483" t="s">
        <v>533</v>
      </c>
      <c r="AE5" s="1483" t="s">
        <v>685</v>
      </c>
      <c r="AF5" s="1483" t="s">
        <v>182</v>
      </c>
      <c r="AG5" s="1483" t="s">
        <v>580</v>
      </c>
      <c r="AH5" s="1483" t="s">
        <v>568</v>
      </c>
      <c r="AI5" s="1483" t="s">
        <v>569</v>
      </c>
      <c r="AJ5" s="1483" t="s">
        <v>581</v>
      </c>
      <c r="AK5" s="1483" t="s">
        <v>582</v>
      </c>
      <c r="AL5" s="1483" t="s">
        <v>583</v>
      </c>
      <c r="AM5" s="1498" t="s">
        <v>584</v>
      </c>
      <c r="AN5" s="1483" t="s">
        <v>249</v>
      </c>
      <c r="AO5" s="1483" t="s">
        <v>571</v>
      </c>
      <c r="AP5" s="1483" t="s">
        <v>572</v>
      </c>
      <c r="AQ5" s="1483" t="s">
        <v>596</v>
      </c>
      <c r="AR5" s="1483" t="s">
        <v>597</v>
      </c>
      <c r="AS5" s="1483" t="s">
        <v>599</v>
      </c>
      <c r="AT5" s="1483" t="s">
        <v>592</v>
      </c>
      <c r="AU5" s="1483" t="s">
        <v>839</v>
      </c>
      <c r="AV5" s="1483" t="s">
        <v>333</v>
      </c>
      <c r="AW5" s="1483" t="s">
        <v>585</v>
      </c>
      <c r="AX5" s="1483" t="s">
        <v>538</v>
      </c>
      <c r="BU5" s="1483" t="s">
        <v>773</v>
      </c>
    </row>
    <row r="6" spans="1:73" ht="21.75" customHeight="1">
      <c r="A6" s="1277"/>
      <c r="B6" s="276"/>
      <c r="C6" s="1522"/>
      <c r="D6" s="1524"/>
      <c r="E6" s="1484"/>
      <c r="F6" s="1513"/>
      <c r="G6" s="1484"/>
      <c r="H6" s="1484"/>
      <c r="I6" s="1484"/>
      <c r="J6" s="1484"/>
      <c r="K6" s="1484"/>
      <c r="L6" s="1484"/>
      <c r="M6" s="1484"/>
      <c r="N6" s="1484"/>
      <c r="O6" s="1484"/>
      <c r="P6" s="1519"/>
      <c r="Q6" s="1519"/>
      <c r="R6" s="1484"/>
      <c r="S6" s="1484"/>
      <c r="T6" s="1484"/>
      <c r="U6" s="1484"/>
      <c r="V6" s="1487"/>
      <c r="W6" s="1502"/>
      <c r="X6" s="1505"/>
      <c r="Y6" s="1481"/>
      <c r="Z6" s="1481"/>
      <c r="AA6" s="1484"/>
      <c r="AB6" s="1484"/>
      <c r="AC6" s="1484"/>
      <c r="AD6" s="1484"/>
      <c r="AE6" s="1484"/>
      <c r="AF6" s="1484"/>
      <c r="AG6" s="1484"/>
      <c r="AH6" s="1484"/>
      <c r="AI6" s="1484"/>
      <c r="AJ6" s="1484"/>
      <c r="AK6" s="1484"/>
      <c r="AL6" s="1484"/>
      <c r="AM6" s="1499"/>
      <c r="AN6" s="1484"/>
      <c r="AO6" s="1484"/>
      <c r="AP6" s="1484"/>
      <c r="AQ6" s="1484"/>
      <c r="AR6" s="1484"/>
      <c r="AS6" s="1484"/>
      <c r="AT6" s="1484"/>
      <c r="AU6" s="1484"/>
      <c r="AV6" s="1484"/>
      <c r="AW6" s="1484"/>
      <c r="AX6" s="1484"/>
      <c r="BU6" s="1484"/>
    </row>
    <row r="7" spans="1:73" ht="38.25" customHeight="1" thickBot="1">
      <c r="A7" s="1278"/>
      <c r="B7" s="277"/>
      <c r="C7" s="532" t="str">
        <f>Datos!A7</f>
        <v>COMPETENCIAS</v>
      </c>
      <c r="D7" s="1525"/>
      <c r="E7" s="1485"/>
      <c r="F7" s="1514"/>
      <c r="G7" s="1485"/>
      <c r="H7" s="1485"/>
      <c r="I7" s="1485"/>
      <c r="J7" s="1485"/>
      <c r="K7" s="1485"/>
      <c r="L7" s="1485"/>
      <c r="M7" s="1485"/>
      <c r="N7" s="1485"/>
      <c r="O7" s="1485"/>
      <c r="P7" s="1520"/>
      <c r="Q7" s="1520"/>
      <c r="R7" s="1485"/>
      <c r="S7" s="1485"/>
      <c r="T7" s="1485"/>
      <c r="U7" s="1485"/>
      <c r="V7" s="1488"/>
      <c r="W7" s="1503"/>
      <c r="X7" s="1506"/>
      <c r="Y7" s="1482"/>
      <c r="Z7" s="1482"/>
      <c r="AA7" s="1485"/>
      <c r="AB7" s="1485"/>
      <c r="AC7" s="1485"/>
      <c r="AD7" s="1485"/>
      <c r="AE7" s="1485"/>
      <c r="AF7" s="1485"/>
      <c r="AG7" s="1485"/>
      <c r="AH7" s="1485"/>
      <c r="AI7" s="1485"/>
      <c r="AJ7" s="1485"/>
      <c r="AK7" s="1485"/>
      <c r="AL7" s="1485"/>
      <c r="AM7" s="1500"/>
      <c r="AN7" s="1485"/>
      <c r="AO7" s="1485"/>
      <c r="AP7" s="1485"/>
      <c r="AQ7" s="1485"/>
      <c r="AR7" s="1485"/>
      <c r="AS7" s="1485"/>
      <c r="AT7" s="1485"/>
      <c r="AU7" s="1485"/>
      <c r="AV7" s="1485"/>
      <c r="AW7" s="1485"/>
      <c r="AX7" s="1485"/>
      <c r="BU7" s="1485"/>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598</v>
      </c>
      <c r="B9" s="504" t="s">
        <v>246</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1200</v>
      </c>
    </row>
    <row r="10" spans="1:73" ht="14.25">
      <c r="A10" s="504">
        <f>Datos!AO10</f>
        <v>1</v>
      </c>
      <c r="B10" s="510" t="s">
        <v>246</v>
      </c>
      <c r="C10" s="7" t="str">
        <f>Datos!A10</f>
        <v>Jdos. Violencia contra la mujer</v>
      </c>
      <c r="D10" s="511"/>
      <c r="E10" s="1171">
        <f>IF(ISNUMBER(Datos!AQ10),Datos!AQ10," - ")</f>
        <v>0</v>
      </c>
      <c r="F10" s="228">
        <f>IF(ISNUMBER(Datos!L10+Datos!K10-Datos!J10),Datos!L10+Datos!K10-Datos!J10," - ")</f>
        <v>9</v>
      </c>
      <c r="G10" s="228">
        <f>IF(ISNUMBER(Datos!I10),Datos!I10," - ")</f>
        <v>9</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6</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16</v>
      </c>
      <c r="Z10" s="622">
        <f>IF(ISNUMBER(Datos!Q10),Datos!Q10," - ")</f>
        <v>6</v>
      </c>
      <c r="AA10" s="335">
        <f>IF(ISNUMBER(Datos!L10),Datos!L10,"-")</f>
        <v>10</v>
      </c>
      <c r="AB10" s="337"/>
      <c r="AC10" s="337"/>
      <c r="AD10" s="487"/>
      <c r="AE10" s="487">
        <f>IF(ISNUMBER(Datos!R10),Datos!R10," - ")</f>
        <v>18</v>
      </c>
      <c r="AF10" s="232" t="str">
        <f>IF(ISNUMBER(Datos!BV10),Datos!BV10," - ")</f>
        <v xml:space="preserve"> - </v>
      </c>
      <c r="AG10" s="228" t="str">
        <f>IF(ISNUMBER(Datos!DV10),Datos!DV10," - ")</f>
        <v xml:space="preserve"> - </v>
      </c>
      <c r="AH10" s="301"/>
      <c r="AI10" s="230"/>
      <c r="AJ10" s="228">
        <f>IF(ISNUMBER(Datos!M10),Datos!M10," - ")</f>
        <v>15</v>
      </c>
      <c r="AK10" s="232">
        <f>IF(ISNUMBER(Datos!N10),Datos!N10," - ")</f>
        <v>1</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6.875</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0</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1600</v>
      </c>
    </row>
    <row r="11" spans="1:73" ht="14.25">
      <c r="A11" s="504">
        <f>Datos!AO11</f>
        <v>0</v>
      </c>
      <c r="B11" s="510" t="s">
        <v>246</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1323</v>
      </c>
    </row>
    <row r="12" spans="1:73" ht="15" thickBot="1">
      <c r="A12" s="504">
        <f>Datos!AO12</f>
        <v>4</v>
      </c>
      <c r="B12" s="510" t="s">
        <v>246</v>
      </c>
      <c r="C12" s="7" t="str">
        <f>Datos!A12</f>
        <v xml:space="preserve">Jdos. 1ª Instª. e Instr.                        </v>
      </c>
      <c r="D12" s="511"/>
      <c r="E12" s="1171">
        <f>IF(ISNUMBER(Datos!AQ12),Datos!AQ12," - ")</f>
        <v>4</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641</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276</v>
      </c>
      <c r="AA12" s="335" t="str">
        <f>IF(ISNUMBER(IF(J_V="SI",Datos!L12,Datos!L12+Datos!AB12)-IF(Monitorios="SI",Datos!CD12,0)),
                          IF(J_V="SI",Datos!L12,Datos!L12+Datos!AB12)-IF(Monitorios="SI",Datos!CD12,0),
                          " - ")</f>
        <v xml:space="preserve"> - </v>
      </c>
      <c r="AB12" s="337"/>
      <c r="AC12" s="337"/>
      <c r="AD12" s="487"/>
      <c r="AE12" s="487">
        <f>IF(ISNUMBER(Datos!R12),Datos!R12," - ")</f>
        <v>3453</v>
      </c>
      <c r="AF12" s="232" t="str">
        <f>IF(ISNUMBER(Datos!BV12),Datos!BV12," - ")</f>
        <v xml:space="preserve"> - </v>
      </c>
      <c r="AG12" s="228" t="str">
        <f>IF(ISNUMBER(Datos!DV12),Datos!DV12," - ")</f>
        <v xml:space="preserve"> - </v>
      </c>
      <c r="AH12" s="301"/>
      <c r="AI12" s="230"/>
      <c r="AJ12" s="228">
        <f>IF(ISNUMBER(Datos!M12),Datos!M12," - ")</f>
        <v>589</v>
      </c>
      <c r="AK12" s="232">
        <f>IF(ISNUMBER(Datos!N12),Datos!N12," - ")</f>
        <v>1086</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7.6342692584593239</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0.11819948186528498</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680</v>
      </c>
    </row>
    <row r="13" spans="1:73" ht="15.75" thickTop="1" thickBot="1">
      <c r="A13" s="181"/>
      <c r="B13" s="181"/>
      <c r="C13" s="866" t="str">
        <f>Datos!A13</f>
        <v>TOTAL</v>
      </c>
      <c r="D13" s="866"/>
      <c r="E13" s="901">
        <f>SUBTOTAL(9,E8:E12)</f>
        <v>4</v>
      </c>
      <c r="F13" s="901">
        <f>SUBTOTAL(9,F8:F12)</f>
        <v>9</v>
      </c>
      <c r="G13" s="901">
        <f>SUBTOTAL(9,G8:G12)</f>
        <v>9</v>
      </c>
      <c r="H13" s="911"/>
      <c r="I13" s="901">
        <f t="shared" ref="I13:N13" si="0">SUBTOTAL(9,I8:I12)</f>
        <v>0</v>
      </c>
      <c r="J13" s="870">
        <f t="shared" si="0"/>
        <v>0</v>
      </c>
      <c r="K13" s="911">
        <f t="shared" si="0"/>
        <v>0</v>
      </c>
      <c r="L13" s="911">
        <f t="shared" si="0"/>
        <v>0</v>
      </c>
      <c r="M13" s="911">
        <f t="shared" si="0"/>
        <v>0</v>
      </c>
      <c r="N13" s="911">
        <f t="shared" si="0"/>
        <v>647</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16</v>
      </c>
      <c r="Z13" s="910">
        <f t="shared" si="2"/>
        <v>282</v>
      </c>
      <c r="AA13" s="903">
        <f t="shared" si="2"/>
        <v>10</v>
      </c>
      <c r="AB13" s="903">
        <f t="shared" si="2"/>
        <v>0</v>
      </c>
      <c r="AC13" s="903">
        <f t="shared" si="2"/>
        <v>0</v>
      </c>
      <c r="AD13" s="903">
        <f t="shared" si="2"/>
        <v>0</v>
      </c>
      <c r="AE13" s="903">
        <f t="shared" si="2"/>
        <v>3471</v>
      </c>
      <c r="AF13" s="911">
        <f t="shared" si="2"/>
        <v>0</v>
      </c>
      <c r="AG13" s="911">
        <f t="shared" si="2"/>
        <v>0</v>
      </c>
      <c r="AH13" s="911">
        <f t="shared" si="2"/>
        <v>0</v>
      </c>
      <c r="AI13" s="911">
        <f t="shared" si="2"/>
        <v>0</v>
      </c>
      <c r="AJ13" s="911">
        <f t="shared" si="2"/>
        <v>604</v>
      </c>
      <c r="AK13" s="911">
        <f t="shared" si="2"/>
        <v>1087</v>
      </c>
      <c r="AL13" s="911">
        <f t="shared" si="2"/>
        <v>0</v>
      </c>
      <c r="AM13" s="911">
        <f t="shared" si="2"/>
        <v>0</v>
      </c>
      <c r="AN13" s="911">
        <f t="shared" si="2"/>
        <v>0</v>
      </c>
      <c r="AO13" s="907">
        <f>IF(ISNUMBER(((NºAsuntos!I13/NºAsuntos!G13)*11)/factor_trimestre),((NºAsuntos!I13/NºAsuntos!G13)*11)/factor_trimestre," - ")</f>
        <v>7.6299212598425203</v>
      </c>
      <c r="AP13" s="913" t="str">
        <f>IF(ISNUMBER(Datos!CI13/Datos!CJ13),Datos!CI13/Datos!CJ13," - ")</f>
        <v xml:space="preserve"> - </v>
      </c>
      <c r="AQ13" s="931">
        <f t="shared" ref="AQ13:AV13" si="3">SUBTOTAL(9,AQ9:AQ12)</f>
        <v>0</v>
      </c>
      <c r="AR13" s="931">
        <f t="shared" si="3"/>
        <v>0.11819948186528498</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396</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3300</v>
      </c>
    </row>
    <row r="16" spans="1:73" ht="14.25">
      <c r="A16" s="504">
        <f>Datos!AO16</f>
        <v>4</v>
      </c>
      <c r="B16" s="510" t="s">
        <v>396</v>
      </c>
      <c r="C16" s="163" t="str">
        <f>Datos!A16</f>
        <v xml:space="preserve">Jdos. 1ª Instª. e Instr.                        </v>
      </c>
      <c r="D16" s="505"/>
      <c r="E16" s="1171">
        <f>IF(ISNUMBER(Datos!AQ16),Datos!AQ16," - ")</f>
        <v>4</v>
      </c>
      <c r="F16" s="336">
        <f>IF(ISNUMBER(AA16+Y16-Datos!J16-K15),AA16+Y16-Datos!J16-K15," - ")</f>
        <v>1183</v>
      </c>
      <c r="G16" s="228">
        <f>IF(ISNUMBER(IF(D_I="SI",Datos!I16,Datos!I16+Datos!AC16)),IF(D_I="SI",Datos!I16,Datos!I16+Datos!AC16)," - ")</f>
        <v>1182</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112</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2942</v>
      </c>
      <c r="Z16" s="622">
        <f>IF(ISNUMBER(Datos!Q16),Datos!Q16," - ")</f>
        <v>124</v>
      </c>
      <c r="AA16" s="335">
        <f>IF(ISNUMBER(IF(D_I="SI",Datos!L16,Datos!L16+Datos!AF16)),IF(D_I="SI",Datos!L16,Datos!L16+Datos!AF16)," - ")</f>
        <v>1379</v>
      </c>
      <c r="AB16" s="337"/>
      <c r="AC16" s="337"/>
      <c r="AD16" s="487"/>
      <c r="AE16" s="487">
        <f>IF(ISNUMBER(Datos!R16),Datos!R16," - ")</f>
        <v>136</v>
      </c>
      <c r="AF16" s="232" t="str">
        <f>IF(ISNUMBER(Datos!BV16),Datos!BV16," - ")</f>
        <v xml:space="preserve"> - </v>
      </c>
      <c r="AG16" s="228"/>
      <c r="AH16" s="301"/>
      <c r="AI16" s="230"/>
      <c r="AJ16" s="228">
        <f>IF(ISNUMBER(Datos!M16),Datos!M16," - ")</f>
        <v>526</v>
      </c>
      <c r="AK16" s="232">
        <f>IF(ISNUMBER(Datos!N16),Datos!N16," - ")</f>
        <v>1869</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5.1560163154316792</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1000</v>
      </c>
    </row>
    <row r="17" spans="1:73" ht="15" thickBot="1">
      <c r="A17" s="504">
        <f>Datos!AO17</f>
        <v>1</v>
      </c>
      <c r="B17" s="510" t="s">
        <v>396</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66</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3</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80</v>
      </c>
      <c r="Z17" s="622">
        <f>IF(ISNUMBER(Datos!Q17),Datos!Q17," - ")</f>
        <v>2</v>
      </c>
      <c r="AA17" s="335">
        <f>IF(ISNUMBER(Datos!L17),Datos!L17,"-")</f>
        <v>29</v>
      </c>
      <c r="AB17" s="337"/>
      <c r="AC17" s="337"/>
      <c r="AD17" s="487"/>
      <c r="AE17" s="487">
        <f>IF(ISNUMBER(Datos!R17),Datos!R17," - ")</f>
        <v>3</v>
      </c>
      <c r="AF17" s="232" t="str">
        <f>IF(ISNUMBER(Datos!BV17),Datos!BV17," - ")</f>
        <v xml:space="preserve"> - </v>
      </c>
      <c r="AG17" s="228" t="str">
        <f>IF(ISNUMBER(Datos!DV17),Datos!DV17," - ")</f>
        <v xml:space="preserve"> - </v>
      </c>
      <c r="AH17" s="301"/>
      <c r="AI17" s="230"/>
      <c r="AJ17" s="228">
        <f>IF(ISNUMBER(Datos!M17),Datos!M17," - ")</f>
        <v>15</v>
      </c>
      <c r="AK17" s="232">
        <f>IF(ISNUMBER(Datos!N17),Datos!N17," - ")</f>
        <v>55</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3.9874999999999998</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1600</v>
      </c>
    </row>
    <row r="18" spans="1:73" ht="15.75" thickTop="1" thickBot="1">
      <c r="A18" s="181"/>
      <c r="B18" s="181"/>
      <c r="C18" s="866" t="str">
        <f>Datos!A18</f>
        <v>TOTAL</v>
      </c>
      <c r="D18" s="866"/>
      <c r="E18" s="1172">
        <f>SUBTOTAL(9,E15:E17)</f>
        <v>4</v>
      </c>
      <c r="F18" s="901">
        <f>SUBTOTAL(9,F15:F17)</f>
        <v>1183</v>
      </c>
      <c r="G18" s="901">
        <f>SUBTOTAL(9,G15:G17)</f>
        <v>1248</v>
      </c>
      <c r="H18" s="935">
        <f>SUBTOTAL(9,H15:H17)</f>
        <v>0</v>
      </c>
      <c r="I18" s="914">
        <f>SUBTOTAL(9,I15:I17)</f>
        <v>0</v>
      </c>
      <c r="J18" s="870">
        <f>SUBTOTAL(9,J14:J17)</f>
        <v>0</v>
      </c>
      <c r="K18" s="935">
        <f t="shared" ref="K18:S18" si="4">SUBTOTAL(9,K15:K17)</f>
        <v>0</v>
      </c>
      <c r="L18" s="935">
        <f t="shared" si="4"/>
        <v>0</v>
      </c>
      <c r="M18" s="935">
        <f t="shared" si="4"/>
        <v>0</v>
      </c>
      <c r="N18" s="935">
        <f t="shared" si="4"/>
        <v>115</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3022</v>
      </c>
      <c r="Z18" s="935">
        <f t="shared" si="5"/>
        <v>126</v>
      </c>
      <c r="AA18" s="935">
        <f t="shared" si="5"/>
        <v>1408</v>
      </c>
      <c r="AB18" s="935">
        <f t="shared" si="5"/>
        <v>0</v>
      </c>
      <c r="AC18" s="935">
        <f t="shared" si="5"/>
        <v>0</v>
      </c>
      <c r="AD18" s="935">
        <f t="shared" si="5"/>
        <v>0</v>
      </c>
      <c r="AE18" s="935">
        <f t="shared" si="5"/>
        <v>139</v>
      </c>
      <c r="AF18" s="935">
        <f t="shared" si="5"/>
        <v>0</v>
      </c>
      <c r="AG18" s="935">
        <f t="shared" si="5"/>
        <v>0</v>
      </c>
      <c r="AH18" s="935">
        <f t="shared" si="5"/>
        <v>0</v>
      </c>
      <c r="AI18" s="935">
        <f t="shared" si="5"/>
        <v>0</v>
      </c>
      <c r="AJ18" s="935">
        <f t="shared" si="5"/>
        <v>541</v>
      </c>
      <c r="AK18" s="935">
        <f t="shared" si="5"/>
        <v>1924</v>
      </c>
      <c r="AL18" s="935">
        <f t="shared" si="5"/>
        <v>0</v>
      </c>
      <c r="AM18" s="935">
        <f t="shared" si="5"/>
        <v>0</v>
      </c>
      <c r="AN18" s="935">
        <f t="shared" si="5"/>
        <v>0</v>
      </c>
      <c r="AO18" s="937">
        <f>IF(ISNUMBER(((NºAsuntos!I18/NºAsuntos!G18)*11)/factor_trimestre),((NºAsuntos!I18/NºAsuntos!G18)*11)/factor_trimestre," - ")</f>
        <v>5.1250827266710788</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8</v>
      </c>
      <c r="F19" s="823">
        <f t="shared" si="7"/>
        <v>1192</v>
      </c>
      <c r="G19" s="823">
        <f t="shared" si="7"/>
        <v>1257</v>
      </c>
      <c r="H19" s="824">
        <f t="shared" si="7"/>
        <v>0</v>
      </c>
      <c r="I19" s="823">
        <f t="shared" si="7"/>
        <v>0</v>
      </c>
      <c r="J19" s="825">
        <f t="shared" si="7"/>
        <v>0</v>
      </c>
      <c r="K19" s="823">
        <f t="shared" si="7"/>
        <v>0</v>
      </c>
      <c r="L19" s="826">
        <f t="shared" si="7"/>
        <v>0</v>
      </c>
      <c r="M19" s="823">
        <f t="shared" si="7"/>
        <v>0</v>
      </c>
      <c r="N19" s="824">
        <f t="shared" si="7"/>
        <v>762</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3038</v>
      </c>
      <c r="Z19" s="830">
        <f t="shared" si="8"/>
        <v>408</v>
      </c>
      <c r="AA19" s="831">
        <f t="shared" si="8"/>
        <v>1418</v>
      </c>
      <c r="AB19" s="831">
        <f t="shared" si="8"/>
        <v>0</v>
      </c>
      <c r="AC19" s="831">
        <f t="shared" si="8"/>
        <v>0</v>
      </c>
      <c r="AD19" s="832">
        <f t="shared" si="8"/>
        <v>0</v>
      </c>
      <c r="AE19" s="832">
        <f t="shared" si="8"/>
        <v>3610</v>
      </c>
      <c r="AF19" s="833">
        <f t="shared" si="8"/>
        <v>0</v>
      </c>
      <c r="AG19" s="834">
        <f t="shared" si="8"/>
        <v>0</v>
      </c>
      <c r="AH19" s="835">
        <f t="shared" si="8"/>
        <v>0</v>
      </c>
      <c r="AI19" s="833">
        <f t="shared" si="8"/>
        <v>0</v>
      </c>
      <c r="AJ19" s="823">
        <f t="shared" si="8"/>
        <v>1145</v>
      </c>
      <c r="AK19" s="823">
        <f t="shared" si="8"/>
        <v>3011</v>
      </c>
      <c r="AL19" s="823">
        <f t="shared" si="8"/>
        <v>0</v>
      </c>
      <c r="AM19" s="836">
        <f t="shared" si="8"/>
        <v>0</v>
      </c>
      <c r="AN19" s="826">
        <f>IF(ISNUMBER(Datos!K19/Datos!J19),Datos!K19/Datos!J19," - ")</f>
        <v>0.89730971128608927</v>
      </c>
      <c r="AO19" s="826">
        <f>IF(ISNUMBER(FIND("06",Criterios!A8,1)),(IF(ISNUMBER(((Datos!R19/Datos!Q19)*11)/factor_trimestre),((Datos!R19/Datos!Q19)*11)/factor_trimestre," - ")),(IF(ISNUMBER(((Datos!L19/Datos!K19)*11)/factor_trimestre),((Datos!L19/Datos!K19)*11)/factor_trimestre," - ")))</f>
        <v>6.4733089579524679</v>
      </c>
      <c r="AP19" s="837" t="str">
        <f>IF(ISNUMBER(Datos!CI19/Datos!CJ19),Datos!CI19/Datos!CJ19," - ")</f>
        <v xml:space="preserve"> - </v>
      </c>
      <c r="AQ19" s="837">
        <f>IF(OR(ISNUMBER(FIND("01",Criterios!A8,1)),ISNUMBER(FIND("02",Criterios!A8,1)),ISNUMBER(FIND("03",Criterios!A8,1)),ISNUMBER(FIND("04",Criterios!A8,1))),(J19-Y19+K19)/(F19-K19),(I19-Y19+K19)/(F19-K19))</f>
        <v>-2.5486577181208054</v>
      </c>
      <c r="AR19" s="837">
        <f>IF(ISNUMBER((Datos!P19-Datos!Q19+O19)/(Datos!R19-Datos!P19+Datos!Q19-O19)),(Datos!P19-Datos!Q19+O19)/(Datos!R19-Datos!P19+Datos!Q19-O19)," - ")</f>
        <v>0.10872235872235872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264</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502.8</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265</v>
      </c>
      <c r="D21" s="344"/>
      <c r="E21" s="583"/>
      <c r="F21" s="255">
        <f>IF(ISNUMBER(STDEV(F8:F18)),STDEV(F8:F18),"-")</f>
        <v>677.80921602862065</v>
      </c>
      <c r="G21" s="555">
        <f>IF(ISNUMBER(STDEV(G8:G18)),STDEV(G8:G18),"-")</f>
        <v>650.98133613798791</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285.49162276092562</v>
      </c>
      <c r="AK21" s="255"/>
      <c r="AL21" s="255">
        <f>IF(ISNUMBER(STDEV(AL8:AL18)),STDEV(AL8:AL18),"-")</f>
        <v>0</v>
      </c>
      <c r="AM21" s="257">
        <f>IF(ISNUMBER(STDEV(AM8:AM18)),STDEV(AM8:AM18),"-")</f>
        <v>0</v>
      </c>
      <c r="AN21" s="542">
        <f>IF(ISNUMBER(STDEV(AN8:AN18)),STDEV(AN8:AN18),"-")</f>
        <v>0</v>
      </c>
      <c r="AO21" s="543">
        <f>IF(ISNUMBER(STDEV(AO8:AO18)),STDEV(AO8:AO18),"-")</f>
        <v>1.522716906048057</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846.34921870348535</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262</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263</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03 may. 2024</v>
      </c>
    </row>
    <row r="32" spans="1:73" ht="13.5" thickBot="1">
      <c r="C32" s="539"/>
      <c r="D32" s="530"/>
      <c r="E32" s="530"/>
    </row>
    <row r="33" spans="12:12" ht="15" thickBot="1">
      <c r="L33" s="549"/>
    </row>
  </sheetData>
  <sheetProtection algorithmName="SHA-512" hashValue="Mf1ifaK0hZuXM5G3iEdOIymJaY4zgpuX0CPmtIr1tz7TlpqIKnIC8/ItBtncwkDEWQyKV9tu4VtISwR95S4mEg==" saltValue="cj6PJIUZd3FUCrlUUTXVQ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628</v>
      </c>
      <c r="D3" s="629"/>
      <c r="E3" s="629"/>
      <c r="F3" s="629"/>
      <c r="G3" s="629" t="str">
        <f xml:space="preserve"> "Año: " &amp; Año &amp; "  Trimestres " &amp; TrimIni &amp; " al " &amp; TrimFin</f>
        <v>Año: 2023  Trimestres 1 al 4</v>
      </c>
      <c r="H3" s="630"/>
      <c r="I3" s="630"/>
      <c r="J3" s="630"/>
      <c r="K3" s="631"/>
      <c r="L3" s="631"/>
      <c r="M3" s="631"/>
      <c r="N3" s="631"/>
      <c r="O3" s="631"/>
      <c r="P3" s="631"/>
      <c r="Q3" s="631"/>
    </row>
    <row r="4" spans="1:18" ht="42" customHeight="1" thickBot="1">
      <c r="A4" s="1531" t="s">
        <v>629</v>
      </c>
      <c r="B4" s="1531" t="s">
        <v>733</v>
      </c>
      <c r="C4" s="1531" t="s">
        <v>630</v>
      </c>
      <c r="D4" s="1531" t="s">
        <v>691</v>
      </c>
      <c r="E4" s="1533" t="s">
        <v>692</v>
      </c>
      <c r="F4" s="1531" t="s">
        <v>631</v>
      </c>
      <c r="G4" s="1533" t="s">
        <v>452</v>
      </c>
      <c r="H4" s="1526" t="s">
        <v>632</v>
      </c>
      <c r="I4" s="1526" t="s">
        <v>633</v>
      </c>
      <c r="J4" s="1526" t="s">
        <v>634</v>
      </c>
      <c r="K4" s="1528" t="s">
        <v>272</v>
      </c>
      <c r="L4" s="1529"/>
      <c r="M4" s="1529"/>
      <c r="N4" s="1530"/>
      <c r="O4" s="1528" t="s">
        <v>447</v>
      </c>
      <c r="P4" s="1529"/>
      <c r="Q4" s="1529"/>
      <c r="R4" s="1530"/>
    </row>
    <row r="5" spans="1:18" ht="27.75" customHeight="1" thickBot="1">
      <c r="A5" s="1532"/>
      <c r="B5" s="1532"/>
      <c r="C5" s="1532"/>
      <c r="D5" s="1532"/>
      <c r="E5" s="1532"/>
      <c r="F5" s="1532"/>
      <c r="G5" s="1532"/>
      <c r="H5" s="1527"/>
      <c r="I5" s="1527"/>
      <c r="J5" s="1527"/>
      <c r="K5" s="849" t="s">
        <v>448</v>
      </c>
      <c r="L5" s="849" t="s">
        <v>449</v>
      </c>
      <c r="M5" s="849" t="s">
        <v>450</v>
      </c>
      <c r="N5" s="849" t="s">
        <v>451</v>
      </c>
      <c r="O5" s="850" t="s">
        <v>448</v>
      </c>
      <c r="P5" s="849" t="s">
        <v>449</v>
      </c>
      <c r="Q5" s="849" t="s">
        <v>450</v>
      </c>
      <c r="R5" s="849" t="s">
        <v>451</v>
      </c>
    </row>
  </sheetData>
  <sheetProtection algorithmName="SHA-512" hashValue="eVQDA8jPBukw8s6SokhE1wp5be0VsJcWJFwJ4nit0n6SYdcfrQ8T5o4onPBpzLxzyMICaMA4llJ7kGtFDGgrlA==" saltValue="JHuKeRp+7RF/hkzrT3UBo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VALENCIA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t="s">
        <v>201</v>
      </c>
      <c r="BO5" s="1239"/>
      <c r="BP5" s="1238" t="s">
        <v>202</v>
      </c>
      <c r="BQ5" s="1239"/>
      <c r="BR5" s="1238" t="s">
        <v>203</v>
      </c>
      <c r="BS5" s="1239"/>
      <c r="BT5" s="1238" t="s">
        <v>204</v>
      </c>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755</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t="s">
        <v>161</v>
      </c>
      <c r="BO6" s="1236" t="s">
        <v>162</v>
      </c>
      <c r="BP6" s="1236" t="s">
        <v>161</v>
      </c>
      <c r="BQ6" s="1236" t="s">
        <v>162</v>
      </c>
      <c r="BR6" s="1236" t="s">
        <v>161</v>
      </c>
      <c r="BS6" s="1236" t="s">
        <v>162</v>
      </c>
      <c r="BT6" s="1236" t="s">
        <v>161</v>
      </c>
      <c r="BU6" s="1236" t="s">
        <v>162</v>
      </c>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50" t="s">
        <v>751</v>
      </c>
      <c r="ER8" s="50" t="s">
        <v>756</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5lmBZLnl5UV2EbG9jcdiD/iwVcM0uPgTNDYx2nlDXOi1UaOpAm/t+UzZYFEXD2qj+DSBvOz9d7gtmq+ddIdFMA==" saltValue="b/QL+BlQ7pQRYXefKcs9cg=="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COMUNIDAD VALENCIANA</v>
      </c>
    </row>
    <row r="2" spans="1:75" ht="16.5" customHeight="1">
      <c r="C2" s="491" t="str">
        <f>Criterios!A10 &amp;"  "&amp;Criterios!B10 &amp; "  " &amp; IF(NOT(ISBLANK(Criterios!A11)),Criterios!A11 &amp;"  "&amp;Criterios!B11,"")</f>
        <v>Provincias  VALENCIA  Resumenes por Partidos Judiciales  XÀTIVA</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76" t="s">
        <v>351</v>
      </c>
      <c r="B5" s="275"/>
      <c r="C5" s="1276"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562</v>
      </c>
      <c r="L5" s="1483" t="s">
        <v>530</v>
      </c>
      <c r="M5" s="1515" t="s">
        <v>588</v>
      </c>
      <c r="N5" s="1483" t="s">
        <v>719</v>
      </c>
      <c r="O5" s="1483" t="s">
        <v>679</v>
      </c>
      <c r="P5" s="1483" t="s">
        <v>168</v>
      </c>
      <c r="Q5" s="1518" t="s">
        <v>676</v>
      </c>
      <c r="R5" s="1518" t="s">
        <v>720</v>
      </c>
      <c r="S5" s="1483" t="s">
        <v>591</v>
      </c>
      <c r="T5" s="1518" t="s">
        <v>563</v>
      </c>
      <c r="U5" s="1518" t="s">
        <v>771</v>
      </c>
      <c r="V5" s="1518" t="s">
        <v>772</v>
      </c>
      <c r="W5" s="1501" t="s">
        <v>613</v>
      </c>
      <c r="X5" s="1504" t="s">
        <v>564</v>
      </c>
      <c r="Y5" s="1501" t="s">
        <v>565</v>
      </c>
      <c r="Z5" s="1501" t="s">
        <v>566</v>
      </c>
      <c r="AA5" s="1483" t="s">
        <v>680</v>
      </c>
      <c r="AB5" s="1483" t="s">
        <v>685</v>
      </c>
      <c r="AC5" s="1483" t="s">
        <v>182</v>
      </c>
      <c r="AD5" s="1489" t="s">
        <v>180</v>
      </c>
      <c r="AE5" s="1483" t="s">
        <v>681</v>
      </c>
      <c r="AF5" s="1492" t="s">
        <v>682</v>
      </c>
      <c r="AG5" s="1495" t="s">
        <v>539</v>
      </c>
      <c r="AH5" s="1483" t="s">
        <v>540</v>
      </c>
      <c r="AI5" s="1483" t="s">
        <v>611</v>
      </c>
      <c r="AJ5" s="1498" t="s">
        <v>612</v>
      </c>
      <c r="AK5" s="1495" t="s">
        <v>183</v>
      </c>
      <c r="AL5" s="1483" t="s">
        <v>570</v>
      </c>
      <c r="AM5" s="1483" t="s">
        <v>247</v>
      </c>
      <c r="AN5" s="1483" t="s">
        <v>248</v>
      </c>
      <c r="AO5" s="1483" t="s">
        <v>249</v>
      </c>
      <c r="AP5" s="1483" t="s">
        <v>571</v>
      </c>
      <c r="AQ5" s="1483" t="s">
        <v>250</v>
      </c>
      <c r="AR5" s="1483" t="s">
        <v>572</v>
      </c>
      <c r="AS5" s="1483" t="s">
        <v>573</v>
      </c>
      <c r="AT5" s="1483" t="s">
        <v>574</v>
      </c>
      <c r="AU5" s="1483" t="s">
        <v>599</v>
      </c>
      <c r="AV5" s="1483" t="s">
        <v>592</v>
      </c>
      <c r="AW5" s="1483" t="s">
        <v>839</v>
      </c>
      <c r="AX5" s="1483" t="s">
        <v>842</v>
      </c>
      <c r="AY5" s="1483" t="s">
        <v>844</v>
      </c>
      <c r="AZ5" s="1483" t="s">
        <v>593</v>
      </c>
      <c r="BA5" s="1483" t="s">
        <v>865</v>
      </c>
      <c r="BB5" s="1483" t="s">
        <v>575</v>
      </c>
      <c r="BC5" s="1483" t="s">
        <v>538</v>
      </c>
      <c r="BW5" s="1483" t="s">
        <v>773</v>
      </c>
    </row>
    <row r="6" spans="1:75" ht="21.75" customHeight="1">
      <c r="A6" s="1534"/>
      <c r="B6" s="662"/>
      <c r="C6" s="1536"/>
      <c r="D6" s="1484"/>
      <c r="E6" s="1484"/>
      <c r="F6" s="1513"/>
      <c r="G6" s="1484"/>
      <c r="H6" s="1484"/>
      <c r="I6" s="1484"/>
      <c r="J6" s="1484"/>
      <c r="K6" s="1484"/>
      <c r="L6" s="1484"/>
      <c r="M6" s="1516"/>
      <c r="N6" s="1484"/>
      <c r="O6" s="1484"/>
      <c r="P6" s="1484"/>
      <c r="Q6" s="1519"/>
      <c r="R6" s="1519"/>
      <c r="S6" s="1484"/>
      <c r="T6" s="1519"/>
      <c r="U6" s="1519"/>
      <c r="V6" s="1519"/>
      <c r="W6" s="1502"/>
      <c r="X6" s="1505"/>
      <c r="Y6" s="1502"/>
      <c r="Z6" s="1502"/>
      <c r="AA6" s="1484"/>
      <c r="AB6" s="1484"/>
      <c r="AC6" s="1484"/>
      <c r="AD6" s="1490"/>
      <c r="AE6" s="1484"/>
      <c r="AF6" s="1493"/>
      <c r="AG6" s="1496"/>
      <c r="AH6" s="1484"/>
      <c r="AI6" s="1484"/>
      <c r="AJ6" s="1499"/>
      <c r="AK6" s="1496"/>
      <c r="AL6" s="1484"/>
      <c r="AM6" s="1484"/>
      <c r="AN6" s="1484"/>
      <c r="AO6" s="1484"/>
      <c r="AP6" s="1484"/>
      <c r="AQ6" s="1484"/>
      <c r="AR6" s="1484"/>
      <c r="AS6" s="1484"/>
      <c r="AT6" s="1484"/>
      <c r="AU6" s="1484"/>
      <c r="AV6" s="1484"/>
      <c r="AW6" s="1484"/>
      <c r="AX6" s="1484"/>
      <c r="AY6" s="1484"/>
      <c r="AZ6" s="1484"/>
      <c r="BA6" s="1484"/>
      <c r="BB6" s="1484"/>
      <c r="BC6" s="1484"/>
      <c r="BW6" s="1484"/>
    </row>
    <row r="7" spans="1:75" ht="38.25" customHeight="1" thickBot="1">
      <c r="A7" s="1535"/>
      <c r="B7" s="663"/>
      <c r="C7" s="664" t="str">
        <f>DatosP!A7</f>
        <v>COMPETENCIAS</v>
      </c>
      <c r="D7" s="1485"/>
      <c r="E7" s="1485"/>
      <c r="F7" s="1514"/>
      <c r="G7" s="1485"/>
      <c r="H7" s="1485"/>
      <c r="I7" s="1485"/>
      <c r="J7" s="1485"/>
      <c r="K7" s="1485"/>
      <c r="L7" s="1485"/>
      <c r="M7" s="1517"/>
      <c r="N7" s="1485"/>
      <c r="O7" s="1485"/>
      <c r="P7" s="1485"/>
      <c r="Q7" s="1520"/>
      <c r="R7" s="1520"/>
      <c r="S7" s="1485"/>
      <c r="T7" s="1520"/>
      <c r="U7" s="1520"/>
      <c r="V7" s="1520"/>
      <c r="W7" s="1503"/>
      <c r="X7" s="1506"/>
      <c r="Y7" s="1503"/>
      <c r="Z7" s="1503"/>
      <c r="AA7" s="1485"/>
      <c r="AB7" s="1485"/>
      <c r="AC7" s="1485"/>
      <c r="AD7" s="1491"/>
      <c r="AE7" s="1485"/>
      <c r="AF7" s="1494"/>
      <c r="AG7" s="1497"/>
      <c r="AH7" s="1485"/>
      <c r="AI7" s="1485"/>
      <c r="AJ7" s="1500"/>
      <c r="AK7" s="1497"/>
      <c r="AL7" s="1485"/>
      <c r="AM7" s="1485"/>
      <c r="AN7" s="1485"/>
      <c r="AO7" s="1485"/>
      <c r="AP7" s="1485"/>
      <c r="AQ7" s="1485"/>
      <c r="AR7" s="1485"/>
      <c r="AS7" s="1485"/>
      <c r="AT7" s="1485"/>
      <c r="AU7" s="1485"/>
      <c r="AV7" s="1485"/>
      <c r="AW7" s="1485"/>
      <c r="AX7" s="1485"/>
      <c r="AY7" s="1485"/>
      <c r="AZ7" s="1485"/>
      <c r="BA7" s="1485"/>
      <c r="BB7" s="1485"/>
      <c r="BC7" s="1485"/>
      <c r="BW7" s="1485"/>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246</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246</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246</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246</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0.21617752326413744</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396</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396</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396</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264</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265</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0.15286059264018423</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424</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262</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263</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03 may. 2024</v>
      </c>
    </row>
    <row r="32" spans="1:75">
      <c r="C32" s="777"/>
      <c r="D32" s="777"/>
    </row>
  </sheetData>
  <sheetProtection algorithmName="SHA-512" hashValue="UOaxI5HOY24sTPg0uvKMMhlnM70LsJvRtBH0KoNUzn9HrbewH5OICvP1PuB3HpEzrQ4ojbyBQcc1icv+MjP6XA==" saltValue="YjqlhCzuhtOAaX90TaCIu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817</v>
      </c>
    </row>
    <row r="3" spans="2:5" ht="16.5" customHeight="1" thickBot="1">
      <c r="B3" s="1143" t="s">
        <v>818</v>
      </c>
      <c r="C3" s="1143" t="s">
        <v>819</v>
      </c>
      <c r="D3" s="1143" t="s">
        <v>820</v>
      </c>
      <c r="E3" s="1151" t="s">
        <v>825</v>
      </c>
    </row>
  </sheetData>
  <sheetProtection algorithmName="SHA-512" hashValue="61FBXOz+adDUoR3bvMlW6c4r2ga1ZIefJnmSwLIyA03asBfnCjrapCPLhlVBwR0oS4UEPAGuYhz3Kf5M34tlLQ==" saltValue="wY9T9PmKSsXhcfQ7gZ1On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1" sqref="D11"/>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COMUNIDAD VALENCIANA</v>
      </c>
      <c r="C2" s="378"/>
      <c r="D2" s="378"/>
      <c r="E2" s="378"/>
      <c r="F2" s="378"/>
    </row>
    <row r="3" spans="1:14" ht="19.5">
      <c r="A3" s="393" t="s">
        <v>115</v>
      </c>
      <c r="B3" s="394" t="str">
        <f>Criterios!A10 &amp;"  "&amp;Criterios!B10</f>
        <v>Provincias  VALENCIA</v>
      </c>
      <c r="D3" s="378"/>
      <c r="E3" s="378"/>
      <c r="F3" s="378"/>
    </row>
    <row r="4" spans="1:14" ht="13.5" thickBot="1">
      <c r="A4" s="378"/>
      <c r="B4" s="394" t="str">
        <f>Criterios!A11 &amp;"  "&amp;Criterios!B11</f>
        <v>Resumenes por Partidos Judiciales  XÀTIVA</v>
      </c>
      <c r="C4" s="378"/>
      <c r="D4" s="378"/>
      <c r="E4" s="378"/>
      <c r="F4" s="378"/>
    </row>
    <row r="5" spans="1:14" ht="15.75" customHeight="1">
      <c r="A5" s="1189" t="str">
        <f>"Año:  " &amp;Criterios!B5 &amp; "     Trimestre   " &amp;Criterios!D5 &amp; " al " &amp;Criterios!D6</f>
        <v>Año:  2023     Trimestre   1 al 4</v>
      </c>
      <c r="B5" s="794" t="s">
        <v>116</v>
      </c>
      <c r="C5" s="1191" t="s">
        <v>128</v>
      </c>
      <c r="D5" s="1192"/>
      <c r="E5" s="1191" t="s">
        <v>92</v>
      </c>
      <c r="F5" s="1192"/>
      <c r="G5" s="1191" t="s">
        <v>9</v>
      </c>
      <c r="H5" s="1192"/>
      <c r="I5" s="1191" t="s">
        <v>129</v>
      </c>
      <c r="J5" s="1192"/>
      <c r="K5" s="1198" t="s">
        <v>749</v>
      </c>
      <c r="L5" s="1182" t="s">
        <v>795</v>
      </c>
      <c r="M5" s="1182" t="s">
        <v>861</v>
      </c>
      <c r="N5" s="1185" t="s">
        <v>748</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743</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9</v>
      </c>
      <c r="D10" s="407">
        <f>IF(ISNUMBER(C10/Datos!BH10),C10/Datos!BH10," - ")</f>
        <v>9</v>
      </c>
      <c r="E10" s="406">
        <f>IF(ISNUMBER(Datos!J10),Datos!J10," - ")</f>
        <v>17</v>
      </c>
      <c r="F10" s="407">
        <f>IF(ISNUMBER(E10/B10),E10/B10," - ")</f>
        <v>17</v>
      </c>
      <c r="G10" s="406">
        <f>IF(ISNUMBER(Datos!K10),Datos!K10," - ")</f>
        <v>16</v>
      </c>
      <c r="H10" s="407">
        <f>IF(ISNUMBER(G10/B10),G10/B10," - ")</f>
        <v>16</v>
      </c>
      <c r="I10" s="406">
        <f>IF(ISNUMBER(Datos!L10),Datos!L10," - ")</f>
        <v>10</v>
      </c>
      <c r="J10" s="407">
        <f>IF(ISNUMBER(I10/B10),I10/B10," - ")</f>
        <v>10</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4</v>
      </c>
      <c r="C12" s="406">
        <f>IF(ISNUMBER(IF(J_V="SI",Datos!I12,Datos!I12+Datos!Y12)),IF(J_V="SI",Datos!I12,Datos!I12+Datos!Y12)," - ")</f>
        <v>1450</v>
      </c>
      <c r="D12" s="407">
        <f>IF(ISNUMBER(C12/Datos!BH12),C12/Datos!BH12," - ")</f>
        <v>362.5</v>
      </c>
      <c r="E12" s="406">
        <f>IF(ISNUMBER(IF(J_V="SI",Datos!J12,Datos!J12+Datos!Z12)),IF(J_V="SI",Datos!J12,Datos!J12+Datos!Z12)," - ")</f>
        <v>3256</v>
      </c>
      <c r="F12" s="407">
        <f>IF(ISNUMBER(E12/B12),E12/B12," - ")</f>
        <v>814</v>
      </c>
      <c r="G12" s="406">
        <f>IF(ISNUMBER(IF(J_V="SI",Datos!K12,Datos!K12+Datos!AA12)),IF(J_V="SI",Datos!K12,Datos!K12+Datos!AA12)," - ")</f>
        <v>2778</v>
      </c>
      <c r="H12" s="407">
        <f>IF(ISNUMBER(G12/B12),G12/B12," - ")</f>
        <v>694.5</v>
      </c>
      <c r="I12" s="406">
        <f>IF(ISNUMBER(IF(J_V="SI",Datos!L12,Datos!L12+Datos!AB12)),IF(J_V="SI",Datos!L12,Datos!L12+Datos!AB12)," - ")</f>
        <v>1928</v>
      </c>
      <c r="J12" s="407">
        <f>IF(ISNUMBER(I12/B12),I12/B12," - ")</f>
        <v>482</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4</v>
      </c>
      <c r="C13" s="852">
        <f>SUBTOTAL(9,C8:C12)</f>
        <v>1459</v>
      </c>
      <c r="D13" s="853" t="str">
        <f>IF(ISNUMBER(C13/Datos!BI13),C13/Datos!BI13," - ")</f>
        <v xml:space="preserve"> - </v>
      </c>
      <c r="E13" s="852">
        <f>SUBTOTAL(9,E8:E12)</f>
        <v>3273</v>
      </c>
      <c r="F13" s="853">
        <f>IF(ISNUMBER(E13/B13),E13/B13," - ")</f>
        <v>818.25</v>
      </c>
      <c r="G13" s="852">
        <f>SUBTOTAL(9,G8:G12)</f>
        <v>2794</v>
      </c>
      <c r="H13" s="853">
        <f>IF(ISNUMBER(G13/B13),G13/B13," - ")</f>
        <v>698.5</v>
      </c>
      <c r="I13" s="852">
        <f>SUBTOTAL(9,I8:I12)</f>
        <v>1938</v>
      </c>
      <c r="J13" s="853">
        <f>IF(ISNUMBER(I13/B13),I13/B13," - ")</f>
        <v>484.5</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4</v>
      </c>
      <c r="C16" s="406">
        <f>IF(ISNUMBER(IF(D_I="SI",Datos!I16,Datos!I16+Datos!AC16)),IF(D_I="SI",Datos!I16,Datos!I16+Datos!AC16)," - ")</f>
        <v>1182</v>
      </c>
      <c r="D16" s="407">
        <f>IF(ISNUMBER(C16/Datos!BH16),C16/Datos!BH16," - ")</f>
        <v>295.5</v>
      </c>
      <c r="E16" s="406">
        <f>IF(ISNUMBER(IF(D_I="SI",Datos!J16,Datos!J16+Datos!AD16)),IF(D_I="SI",Datos!J16,Datos!J16+Datos!AD16)," - ")</f>
        <v>3138</v>
      </c>
      <c r="F16" s="407">
        <f>IF(ISNUMBER(E16/B16),E16/B16," - ")</f>
        <v>784.5</v>
      </c>
      <c r="G16" s="406">
        <f>IF(ISNUMBER(IF(D_I="SI",Datos!K16,Datos!K16+Datos!AE16)),IF(D_I="SI",Datos!K16,Datos!K16+Datos!AE16)," - ")</f>
        <v>2942</v>
      </c>
      <c r="H16" s="407">
        <f>IF(ISNUMBER(G16/B16),G16/B16," - ")</f>
        <v>735.5</v>
      </c>
      <c r="I16" s="406">
        <f>IF(ISNUMBER(IF(D_I="SI",Datos!L16,Datos!L16+Datos!AF16)),IF(D_I="SI",Datos!L16,Datos!L16+Datos!AF16)," - ")</f>
        <v>1379</v>
      </c>
      <c r="J16" s="407">
        <f>IF(ISNUMBER(I16/B16),I16/B16," - ")</f>
        <v>344.75</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66</v>
      </c>
      <c r="D17" s="407">
        <f>IF(ISNUMBER(C17/Datos!BH17),C17/Datos!BH17," - ")</f>
        <v>66</v>
      </c>
      <c r="E17" s="406">
        <f>IF(ISNUMBER(IF(D_I="SI",Datos!J17,Datos!J17+Datos!AD17)),IF(D_I="SI",Datos!J17,Datos!J17+Datos!AD17)," - ")</f>
        <v>43</v>
      </c>
      <c r="F17" s="407">
        <f>IF(ISNUMBER(E17/B17),E17/B17," - ")</f>
        <v>43</v>
      </c>
      <c r="G17" s="406">
        <f>IF(ISNUMBER(IF(D_I="SI",Datos!K17,Datos!K17+Datos!AE17)),IF(D_I="SI",Datos!K17,Datos!K17+Datos!AE17)," - ")</f>
        <v>80</v>
      </c>
      <c r="H17" s="407">
        <f>IF(ISNUMBER(G17/B17),G17/B17," - ")</f>
        <v>80</v>
      </c>
      <c r="I17" s="406">
        <f>IF(ISNUMBER(IF(D_I="SI",Datos!L17,Datos!L17+Datos!AF17)),IF(D_I="SI",Datos!L17,Datos!L17+Datos!AF17)," - ")</f>
        <v>29</v>
      </c>
      <c r="J17" s="407">
        <f>IF(ISNUMBER(I17/B17),I17/B17," - ")</f>
        <v>29</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4</v>
      </c>
      <c r="C18" s="852">
        <f>SUBTOTAL(9,C14:C17)</f>
        <v>1248</v>
      </c>
      <c r="D18" s="853" t="str">
        <f>IF(ISNUMBER(C18/Datos!BI18),C18/Datos!BI18," - ")</f>
        <v xml:space="preserve"> - </v>
      </c>
      <c r="E18" s="852">
        <f>SUBTOTAL(9,E14:E17)</f>
        <v>3181</v>
      </c>
      <c r="F18" s="853">
        <f>IF(ISNUMBER(E18/B18),E18/B18," - ")</f>
        <v>795.25</v>
      </c>
      <c r="G18" s="852">
        <f>SUBTOTAL(9,G14:G17)</f>
        <v>3022</v>
      </c>
      <c r="H18" s="853">
        <f>IF(ISNUMBER(G18/B18),G18/B18," - ")</f>
        <v>755.5</v>
      </c>
      <c r="I18" s="852">
        <f>SUBTOTAL(9,I14:I17)</f>
        <v>1408</v>
      </c>
      <c r="J18" s="853">
        <f>IF(ISNUMBER(I18/B18),I18/B18," - ")</f>
        <v>352</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4</v>
      </c>
      <c r="C19" s="797">
        <f>SUBTOTAL(9,C9:C18)</f>
        <v>2707</v>
      </c>
      <c r="D19" s="798" t="str">
        <f>IF(ISNUMBER(C19/Datos!BI19),C19/Datos!BI19," - ")</f>
        <v xml:space="preserve"> - </v>
      </c>
      <c r="E19" s="797">
        <f>SUBTOTAL(9,E9:E18)</f>
        <v>6454</v>
      </c>
      <c r="F19" s="798">
        <f>IF(ISNUMBER(E19/B19),E19/B19," - ")</f>
        <v>1613.5</v>
      </c>
      <c r="G19" s="797">
        <f>SUBTOTAL(9,G9:G18)</f>
        <v>5816</v>
      </c>
      <c r="H19" s="798">
        <f>IF(ISNUMBER(G19/B19),G19/B19," - ")</f>
        <v>1454</v>
      </c>
      <c r="I19" s="797">
        <f>SUBTOTAL(9,I9:I18)</f>
        <v>3346</v>
      </c>
      <c r="J19" s="798">
        <f>IF(ISNUMBER(I19/B19),I19/B19," - ")</f>
        <v>836.5</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03 may. 2024</v>
      </c>
    </row>
    <row r="27" spans="1:14">
      <c r="A27" s="417"/>
    </row>
  </sheetData>
  <sheetProtection algorithmName="SHA-512" hashValue="DaAlrwa9X5ANQ4U8t/JAUzaJAaeA6HS6JT1pFYPB4CMxxwUuzWPqobHqFq+OwAyStr++igudtptMJhEkIOREpg==" saltValue="2F5iJScpNOkVejkGabKaP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COMUNIDAD VALENCIANA</v>
      </c>
      <c r="W1"/>
      <c r="X1"/>
    </row>
    <row r="2" spans="1:65" ht="16.5" customHeight="1">
      <c r="C2" s="491" t="str">
        <f>Criterios!A10 &amp;"  "&amp;Criterios!B10 &amp; "  " &amp; IF(NOT(ISBLANK(Criterios!A11)),Criterios!A11 &amp;"  "&amp;Criterios!B11,"")</f>
        <v>Provincias  VALENCIA  Resumenes por Partidos Judiciales  XÀTIVA</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76" t="s">
        <v>351</v>
      </c>
      <c r="B5" s="275"/>
      <c r="C5" s="1276" t="str">
        <f>"Año:  " &amp;Criterios!B$5 &amp; "          Trimestre   " &amp;Criterios!D$5 &amp; " al " &amp;Criterios!D$6</f>
        <v>Año:  2023          Trimestre   1 al 4</v>
      </c>
      <c r="D5" s="1483" t="s">
        <v>424</v>
      </c>
      <c r="E5" s="1483" t="s">
        <v>560</v>
      </c>
      <c r="F5" s="1512" t="s">
        <v>406</v>
      </c>
      <c r="G5" s="1483" t="s">
        <v>128</v>
      </c>
      <c r="H5" s="1483" t="s">
        <v>693</v>
      </c>
      <c r="I5" s="1483" t="s">
        <v>694</v>
      </c>
      <c r="J5" s="1483" t="s">
        <v>697</v>
      </c>
      <c r="K5" s="1483" t="s">
        <v>698</v>
      </c>
      <c r="L5" s="1483" t="s">
        <v>588</v>
      </c>
      <c r="M5" s="1483" t="s">
        <v>719</v>
      </c>
      <c r="N5" s="1483" t="s">
        <v>699</v>
      </c>
      <c r="O5" s="1483" t="s">
        <v>695</v>
      </c>
      <c r="P5" s="1483" t="s">
        <v>168</v>
      </c>
      <c r="Q5" s="1483" t="s">
        <v>676</v>
      </c>
      <c r="R5" s="1483" t="s">
        <v>720</v>
      </c>
      <c r="S5" s="1483" t="str">
        <f>"Ingreso Computable 2003" &amp; IF(OR(EXACT(LEFT(boletin,2),"04"),EXACT(LEFT(boletin,2),"14"),EXACT(LEFT(boletin,2),"17"))," (Civil + Penal)","")</f>
        <v>Ingreso Computable 2003</v>
      </c>
      <c r="T5" s="1483" t="s">
        <v>696</v>
      </c>
      <c r="U5" s="1518" t="str">
        <f>"% Ingreso Computable 2003" &amp; IF(OR(EXACT(LEFT(boletin,2),"04"),EXACT(LEFT(boletin,2),"14"),EXACT(LEFT(boletin,2),"17"))," (Civil + Penal)","")</f>
        <v>% Ingreso Computable 2003</v>
      </c>
      <c r="V5" s="1518" t="s">
        <v>700</v>
      </c>
      <c r="W5" s="1483" t="s">
        <v>765</v>
      </c>
      <c r="X5" s="1483" t="s">
        <v>766</v>
      </c>
      <c r="Y5" s="1486" t="s">
        <v>667</v>
      </c>
      <c r="Z5" s="1542" t="str">
        <f>"RESOLUCION Nº  H/P" &amp; IF(OR(EXACT(LEFT(boletin,2),"04"),EXACT(LEFT(boletin,2),"14"),EXACT(LEFT(boletin,2),"17"))," (Civil + Penal)","")</f>
        <v>RESOLUCION Nº  H/P</v>
      </c>
      <c r="AA5" s="1545" t="str">
        <f>" % S/Iindicador  De  Resolución (Horas punto)" &amp; IF(OR(EXACT(LEFT(boletin,2),"04"),EXACT(LEFT(boletin,2),"14"),EXACT(LEFT(boletin,2),"17"))," (Civil + Penal)","")</f>
        <v xml:space="preserve"> % S/Iindicador  De  Resolución (Horas punto)</v>
      </c>
      <c r="AB5" s="1542" t="s">
        <v>701</v>
      </c>
      <c r="AC5" s="1542" t="s">
        <v>702</v>
      </c>
      <c r="AD5" s="1542" t="s">
        <v>703</v>
      </c>
      <c r="AE5" s="1542" t="s">
        <v>704</v>
      </c>
      <c r="AF5" s="1483" t="s">
        <v>705</v>
      </c>
      <c r="AG5" s="1483" t="s">
        <v>706</v>
      </c>
      <c r="AH5" s="1483" t="s">
        <v>707</v>
      </c>
      <c r="AI5" s="1483" t="s">
        <v>708</v>
      </c>
      <c r="AJ5" s="1483" t="s">
        <v>182</v>
      </c>
      <c r="AK5" s="1495" t="s">
        <v>539</v>
      </c>
      <c r="AL5" s="1495" t="s">
        <v>183</v>
      </c>
      <c r="AM5" s="1483" t="s">
        <v>570</v>
      </c>
      <c r="AN5" s="1483" t="s">
        <v>247</v>
      </c>
      <c r="AO5" s="1483" t="s">
        <v>248</v>
      </c>
      <c r="AP5" s="1483" t="s">
        <v>709</v>
      </c>
      <c r="AQ5" s="1483" t="s">
        <v>710</v>
      </c>
      <c r="AR5" s="1483" t="s">
        <v>711</v>
      </c>
      <c r="AS5" s="1483" t="s">
        <v>712</v>
      </c>
      <c r="AT5" s="1483" t="s">
        <v>713</v>
      </c>
      <c r="AU5" s="1483" t="s">
        <v>714</v>
      </c>
      <c r="AV5" s="1483" t="s">
        <v>715</v>
      </c>
      <c r="AW5" s="1483" t="s">
        <v>716</v>
      </c>
      <c r="AX5" s="1483" t="s">
        <v>839</v>
      </c>
      <c r="AY5" s="1483" t="s">
        <v>842</v>
      </c>
      <c r="AZ5" s="1483" t="s">
        <v>717</v>
      </c>
      <c r="BA5" s="1483" t="s">
        <v>718</v>
      </c>
      <c r="BB5" s="1483" t="s">
        <v>538</v>
      </c>
      <c r="BC5" s="1345" t="s">
        <v>725</v>
      </c>
      <c r="BD5" s="1345" t="s">
        <v>726</v>
      </c>
      <c r="BE5" s="1512" t="s">
        <v>727</v>
      </c>
      <c r="BF5" s="1539"/>
      <c r="BG5" s="1540"/>
      <c r="BH5" s="1539"/>
      <c r="BI5" s="1540"/>
      <c r="BJ5" s="1539"/>
      <c r="BK5" s="1540"/>
      <c r="BL5" s="1539"/>
      <c r="BM5" s="1540"/>
    </row>
    <row r="6" spans="1:65" ht="21.75" customHeight="1">
      <c r="A6" s="1534"/>
      <c r="B6" s="662"/>
      <c r="C6" s="1536"/>
      <c r="D6" s="1484"/>
      <c r="E6" s="1484"/>
      <c r="F6" s="1513"/>
      <c r="G6" s="1484"/>
      <c r="H6" s="1484"/>
      <c r="I6" s="1484"/>
      <c r="J6" s="1484"/>
      <c r="K6" s="1484"/>
      <c r="L6" s="1484"/>
      <c r="M6" s="1484"/>
      <c r="N6" s="1484"/>
      <c r="O6" s="1484"/>
      <c r="P6" s="1484"/>
      <c r="Q6" s="1484"/>
      <c r="R6" s="1484"/>
      <c r="S6" s="1484"/>
      <c r="T6" s="1484"/>
      <c r="U6" s="1519"/>
      <c r="V6" s="1519"/>
      <c r="W6" s="1484"/>
      <c r="X6" s="1484"/>
      <c r="Y6" s="1487"/>
      <c r="Z6" s="1543"/>
      <c r="AA6" s="1546"/>
      <c r="AB6" s="1543"/>
      <c r="AC6" s="1543"/>
      <c r="AD6" s="1543"/>
      <c r="AE6" s="1543"/>
      <c r="AF6" s="1484"/>
      <c r="AG6" s="1484"/>
      <c r="AH6" s="1484"/>
      <c r="AI6" s="1484"/>
      <c r="AJ6" s="1484"/>
      <c r="AK6" s="1496"/>
      <c r="AL6" s="1496"/>
      <c r="AM6" s="1484"/>
      <c r="AN6" s="1484"/>
      <c r="AO6" s="1484"/>
      <c r="AP6" s="1484"/>
      <c r="AQ6" s="1484"/>
      <c r="AR6" s="1484"/>
      <c r="AS6" s="1484"/>
      <c r="AT6" s="1484"/>
      <c r="AU6" s="1484"/>
      <c r="AV6" s="1484"/>
      <c r="AW6" s="1484"/>
      <c r="AX6" s="1484"/>
      <c r="AY6" s="1484"/>
      <c r="AZ6" s="1484"/>
      <c r="BA6" s="1484"/>
      <c r="BB6" s="1484"/>
      <c r="BC6" s="1346"/>
      <c r="BD6" s="1346"/>
      <c r="BE6" s="1513"/>
      <c r="BF6" s="1537"/>
      <c r="BG6" s="1537"/>
      <c r="BH6" s="1537"/>
      <c r="BI6" s="1537"/>
      <c r="BJ6" s="1537"/>
      <c r="BK6" s="1537"/>
      <c r="BL6" s="1537"/>
      <c r="BM6" s="1537"/>
    </row>
    <row r="7" spans="1:65" ht="38.25" customHeight="1" thickBot="1">
      <c r="A7" s="1535"/>
      <c r="B7" s="663"/>
      <c r="C7" s="664" t="str">
        <f>Datos!A7</f>
        <v>COMPETENCIAS</v>
      </c>
      <c r="D7" s="1485"/>
      <c r="E7" s="1485"/>
      <c r="F7" s="1514"/>
      <c r="G7" s="1485"/>
      <c r="H7" s="1485"/>
      <c r="I7" s="1485"/>
      <c r="J7" s="1485"/>
      <c r="K7" s="1485"/>
      <c r="L7" s="1485"/>
      <c r="M7" s="1485"/>
      <c r="N7" s="1485"/>
      <c r="O7" s="1485"/>
      <c r="P7" s="1485"/>
      <c r="Q7" s="1485"/>
      <c r="R7" s="1485"/>
      <c r="S7" s="1485"/>
      <c r="T7" s="1485"/>
      <c r="U7" s="1520"/>
      <c r="V7" s="1520"/>
      <c r="W7" s="1485"/>
      <c r="X7" s="1485"/>
      <c r="Y7" s="1488"/>
      <c r="Z7" s="1544"/>
      <c r="AA7" s="1547"/>
      <c r="AB7" s="1544"/>
      <c r="AC7" s="1544"/>
      <c r="AD7" s="1544"/>
      <c r="AE7" s="1544"/>
      <c r="AF7" s="1485"/>
      <c r="AG7" s="1485"/>
      <c r="AH7" s="1485"/>
      <c r="AI7" s="1485"/>
      <c r="AJ7" s="1485"/>
      <c r="AK7" s="1497"/>
      <c r="AL7" s="1497"/>
      <c r="AM7" s="1485"/>
      <c r="AN7" s="1485"/>
      <c r="AO7" s="1485"/>
      <c r="AP7" s="1485"/>
      <c r="AQ7" s="1485"/>
      <c r="AR7" s="1485"/>
      <c r="AS7" s="1485"/>
      <c r="AT7" s="1485"/>
      <c r="AU7" s="1485"/>
      <c r="AV7" s="1485"/>
      <c r="AW7" s="1485"/>
      <c r="AX7" s="1485"/>
      <c r="AY7" s="1485"/>
      <c r="AZ7" s="1485"/>
      <c r="BA7" s="1485"/>
      <c r="BB7" s="1485"/>
      <c r="BC7" s="1541"/>
      <c r="BD7" s="1541"/>
      <c r="BE7" s="1514"/>
      <c r="BF7" s="1538"/>
      <c r="BG7" s="1538"/>
      <c r="BH7" s="1538"/>
      <c r="BI7" s="1538"/>
      <c r="BJ7" s="1538"/>
      <c r="BK7" s="1538"/>
      <c r="BL7" s="1538"/>
      <c r="BM7" s="1538"/>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246</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246</v>
      </c>
      <c r="C10" s="7" t="str">
        <f>Datos!A10</f>
        <v>Jdos. Violencia contra la mujer</v>
      </c>
      <c r="D10" s="511"/>
      <c r="E10" s="685">
        <f>IF(ISNUMBER(Datos!AQ10),Datos!AQ10," - ")</f>
        <v>0</v>
      </c>
      <c r="F10" s="686">
        <f>IF(ISNUMBER(Datos!L10+Datos!K10-Datos!J10),Datos!L10+Datos!K10-Datos!J10," - ")</f>
        <v>9</v>
      </c>
      <c r="G10" s="687">
        <f>IF(ISNUMBER(Datos!I10),Datos!I10," - ")</f>
        <v>9</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6</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16</v>
      </c>
      <c r="AC10" s="686" t="str">
        <f>IF(ISNUMBER(IF(D_I="SI",DatosP!K17,DatosP!K17+DatosP!AE17)),IF(D_I="SI",DatosP!K17,DatosP!K17+DatosP!AE17)," - ")</f>
        <v xml:space="preserve"> - </v>
      </c>
      <c r="AD10" s="688"/>
      <c r="AE10" s="688"/>
      <c r="AF10" s="691">
        <f>IF(ISNUMBER(Datos!L10),Datos!L10,"-")</f>
        <v>10</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15</v>
      </c>
      <c r="AM10" s="693">
        <f>IF(ISNUMBER(Datos!N10+DatosP!N17),Datos!N10+DatosP!N17," - ")</f>
        <v>1</v>
      </c>
      <c r="AN10" s="693">
        <f>IF(ISNUMBER(Datos!BW10+DatosP!BW17),Datos!BW10+DatosP!BW17," - ")</f>
        <v>0</v>
      </c>
      <c r="AO10" s="694">
        <f>IF(ISNUMBER(Datos!BX10+DatosP!BX17),Datos!BX10+DatosP!BX17," - ")</f>
        <v>0</v>
      </c>
      <c r="AP10" s="696">
        <f>IF(ISNUMBER(((Datos!L10/Datos!K10)*11)/factor_trimestre),((Datos!L10/Datos!K10)*11)/factor_trimestre," - ")</f>
        <v>6.875</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246</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4</v>
      </c>
      <c r="B12" s="510" t="s">
        <v>246</v>
      </c>
      <c r="C12" s="7" t="str">
        <f>Datos!A12</f>
        <v xml:space="preserve">Jdos. 1ª Instª. e Instr.                        </v>
      </c>
      <c r="D12" s="511"/>
      <c r="E12" s="685">
        <f>IF(ISNUMBER(Datos!AQ12),Datos!AQ12," - ")</f>
        <v>4</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641</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276</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3453</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589</v>
      </c>
      <c r="AM12" s="693">
        <f>IF(ISNUMBER(Datos!N12+DatosP!N16),Datos!N12+DatosP!N16," - ")</f>
        <v>1086</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7.6342692584593239</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0.11819948186528498</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4</v>
      </c>
      <c r="F13" s="941">
        <f t="shared" si="0"/>
        <v>9</v>
      </c>
      <c r="G13" s="941">
        <f t="shared" si="0"/>
        <v>9</v>
      </c>
      <c r="H13" s="941">
        <f t="shared" si="0"/>
        <v>0</v>
      </c>
      <c r="I13" s="943">
        <f t="shared" si="0"/>
        <v>0</v>
      </c>
      <c r="J13" s="942">
        <f t="shared" si="0"/>
        <v>0</v>
      </c>
      <c r="K13" s="942">
        <f t="shared" si="0"/>
        <v>0</v>
      </c>
      <c r="L13" s="944">
        <f t="shared" si="0"/>
        <v>0</v>
      </c>
      <c r="M13" s="944">
        <f t="shared" si="0"/>
        <v>0</v>
      </c>
      <c r="N13" s="942">
        <f t="shared" si="0"/>
        <v>647</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16</v>
      </c>
      <c r="AC13" s="942">
        <f t="shared" si="1"/>
        <v>0</v>
      </c>
      <c r="AD13" s="942">
        <f t="shared" si="1"/>
        <v>276</v>
      </c>
      <c r="AE13" s="942">
        <f t="shared" si="1"/>
        <v>0</v>
      </c>
      <c r="AF13" s="942">
        <f t="shared" si="1"/>
        <v>10</v>
      </c>
      <c r="AG13" s="942">
        <f t="shared" si="1"/>
        <v>0</v>
      </c>
      <c r="AH13" s="942">
        <f t="shared" si="1"/>
        <v>3453</v>
      </c>
      <c r="AI13" s="942">
        <f t="shared" si="1"/>
        <v>0</v>
      </c>
      <c r="AJ13" s="942">
        <f t="shared" si="1"/>
        <v>0</v>
      </c>
      <c r="AK13" s="942">
        <f t="shared" si="1"/>
        <v>0</v>
      </c>
      <c r="AL13" s="942">
        <f t="shared" si="1"/>
        <v>604</v>
      </c>
      <c r="AM13" s="942">
        <f t="shared" si="1"/>
        <v>1087</v>
      </c>
      <c r="AN13" s="942">
        <f t="shared" si="1"/>
        <v>0</v>
      </c>
      <c r="AO13" s="942">
        <f t="shared" si="1"/>
        <v>0</v>
      </c>
      <c r="AP13" s="947">
        <f>IF(ISNUMBER(((Datos!L13/Datos!K13)*11)/factor_trimestre),((Datos!L13/Datos!K13)*11)/factor_trimestre," - ")</f>
        <v>8.1376633986928102</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-1.7777777777777777</v>
      </c>
      <c r="AU13" s="942" t="str">
        <f>IF(ISNUMBER((DatosP!#REF!-DatosP!#REF!+DatosP!#REF!)/(DatosP!#REF!+DatosP!#REF!-DatosP!#REF!-DatosP!#REF!)),(DatosP!#REF!-DatosP!#REF!+DatosP!#REF!)/(DatosP!#REF!+DatosP!#REF!-DatosP!#REF!-DatosP!#REF!)," - ")</f>
        <v xml:space="preserve"> - </v>
      </c>
      <c r="AV13" s="948">
        <f>SUBTOTAL(9,AV9:AV12)</f>
        <v>0.11819948186528498</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396</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4</v>
      </c>
      <c r="B16" s="510" t="s">
        <v>396</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396</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5.1250827266710788</v>
      </c>
      <c r="AQ18" s="947">
        <f>IF(ISNUMBER(((Datos!M18/Datos!L18)*11)/factor_trimestre),((Datos!M18/Datos!L18)*11)/factor_trimestre," - ")</f>
        <v>4.2265625</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-7.3333333333333334E-2</v>
      </c>
      <c r="AW18" s="949">
        <f>IF(ISNUMBER((Datos!Q18-Datos!R18)/(Datos!S18-Datos!Q18+Datos!R18)),(Datos!Q18-Datos!R18)/(Datos!S18-Datos!Q18+Datos!R18)," - ")</f>
        <v>-1.1082693947144074E-2</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4</v>
      </c>
      <c r="F19" s="954">
        <f t="shared" si="4"/>
        <v>9</v>
      </c>
      <c r="G19" s="954">
        <f t="shared" si="4"/>
        <v>9</v>
      </c>
      <c r="H19" s="954">
        <f t="shared" si="4"/>
        <v>0</v>
      </c>
      <c r="I19" s="955">
        <f t="shared" si="4"/>
        <v>0</v>
      </c>
      <c r="J19" s="956">
        <f t="shared" si="4"/>
        <v>0</v>
      </c>
      <c r="K19" s="956">
        <f t="shared" si="4"/>
        <v>0</v>
      </c>
      <c r="L19" s="956">
        <f t="shared" si="4"/>
        <v>0</v>
      </c>
      <c r="M19" s="956">
        <f t="shared" si="4"/>
        <v>0</v>
      </c>
      <c r="N19" s="955">
        <f t="shared" si="4"/>
        <v>647</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16</v>
      </c>
      <c r="AC19" s="960">
        <f t="shared" si="5"/>
        <v>0</v>
      </c>
      <c r="AD19" s="960">
        <f t="shared" si="5"/>
        <v>276</v>
      </c>
      <c r="AE19" s="960">
        <f t="shared" si="5"/>
        <v>0</v>
      </c>
      <c r="AF19" s="961">
        <f t="shared" si="5"/>
        <v>10</v>
      </c>
      <c r="AG19" s="961">
        <f t="shared" si="5"/>
        <v>0</v>
      </c>
      <c r="AH19" s="961">
        <f t="shared" si="5"/>
        <v>3453</v>
      </c>
      <c r="AI19" s="961">
        <f t="shared" si="5"/>
        <v>0</v>
      </c>
      <c r="AJ19" s="962">
        <f t="shared" si="5"/>
        <v>0</v>
      </c>
      <c r="AK19" s="962">
        <f t="shared" si="5"/>
        <v>0</v>
      </c>
      <c r="AL19" s="954">
        <f t="shared" si="5"/>
        <v>604</v>
      </c>
      <c r="AM19" s="954">
        <f t="shared" si="5"/>
        <v>1087</v>
      </c>
      <c r="AN19" s="954">
        <f t="shared" si="5"/>
        <v>0</v>
      </c>
      <c r="AO19" s="954">
        <f t="shared" si="5"/>
        <v>0</v>
      </c>
      <c r="AP19" s="954">
        <f>IF(ISNUMBER(((Datos!L19/Datos!K19)*11)/factor_trimestre),((Datos!L19/Datos!K19)*11)/factor_trimestre," - ")</f>
        <v>6.4733089579524679</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-1.7777777777777777</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0.10872235872235872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264</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6</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265</v>
      </c>
      <c r="D21" s="737"/>
      <c r="E21" s="738">
        <f>IF(ISNUMBER(STDEV(E8:E18)),STDEV(E8:E18),"-")</f>
        <v>2.0655911179772892</v>
      </c>
      <c r="F21" s="739">
        <f>IF(ISNUMBER(STDEV(F8:F18)),STDEV(F8:F18),"-")</f>
        <v>5.196152422706632</v>
      </c>
      <c r="G21" s="740">
        <f>IF(ISNUMBER(STDEV(G8:G18)),STDEV(G8:G18),"-")</f>
        <v>5.196152422706632</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9.2376043070340135</v>
      </c>
      <c r="AC21" s="741">
        <f>IF(ISNUMBER(STDEV(AC8:AC18)),STDEV(AC8:AC18),"-")</f>
        <v>0</v>
      </c>
      <c r="AD21" s="744"/>
      <c r="AE21" s="744"/>
      <c r="AF21" s="744"/>
      <c r="AG21" s="744"/>
      <c r="AH21" s="744"/>
      <c r="AI21" s="744"/>
      <c r="AJ21" s="745">
        <f>IF(ISNUMBER(STDEV(AJ8:AJ18)),STDEV(AJ8:AJ18),"-")</f>
        <v>0</v>
      </c>
      <c r="AK21" s="747"/>
      <c r="AL21" s="739">
        <f>IF(ISNUMBER(STDEV(AL8:AL18)),STDEV(AL8:AL18),"-")</f>
        <v>340.16956556007966</v>
      </c>
      <c r="AM21" s="739"/>
      <c r="AN21" s="739">
        <f>IF(ISNUMBER(STDEV(AN8:AN18)),STDEV(AN8:AN18),"-")</f>
        <v>0</v>
      </c>
      <c r="AO21" s="745">
        <f>IF(ISNUMBER(STDEV(AO8:AO18)),STDEV(AO8:AO18),"-")</f>
        <v>0</v>
      </c>
      <c r="AP21" s="782">
        <f>IF(ISNUMBER(STDEV(AP8:AP18)),STDEV(AP8:AP18),"-")</f>
        <v>1.3183981488250143</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424</v>
      </c>
      <c r="AU22" s="755" t="s">
        <v>424</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262</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263</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03 may. 2024</v>
      </c>
      <c r="W30"/>
      <c r="X30"/>
    </row>
    <row r="32" spans="1:65">
      <c r="C32" s="777"/>
      <c r="D32" s="777"/>
      <c r="W32"/>
      <c r="X32"/>
    </row>
  </sheetData>
  <sheetProtection algorithmName="SHA-512" hashValue="twUR/UmibZ7Xl7NtoDyyRokAYVSbAGJfOFf+lbtPl82GYpTDWmxYek0j8p4S7mtA6jKavgNfeeWrJ3PMJMVBRA==" saltValue="4q9E8xU0vZncmBb1S+H7C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election activeCell="G9" sqref="G9"/>
    </sheetView>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COMUNIDAD VALENCIANA</v>
      </c>
      <c r="C2" s="378"/>
      <c r="E2" s="378"/>
      <c r="F2" s="378"/>
      <c r="G2" s="378"/>
      <c r="H2" s="378"/>
    </row>
    <row r="3" spans="1:15" ht="39">
      <c r="A3" s="418" t="s">
        <v>218</v>
      </c>
      <c r="B3" s="394" t="str">
        <f>Criterios!A10 &amp;"  "&amp;Criterios!B10</f>
        <v>Provincias  VALENCIA</v>
      </c>
      <c r="C3" s="418"/>
      <c r="F3" s="378"/>
      <c r="G3" s="378"/>
      <c r="H3" s="378"/>
    </row>
    <row r="4" spans="1:15" ht="13.5" thickBot="1">
      <c r="A4" s="378"/>
      <c r="B4" s="394" t="str">
        <f>Criterios!A11 &amp;"  "&amp;Criterios!B11</f>
        <v>Resumenes por Partidos Judiciales  XÀTIVA</v>
      </c>
      <c r="C4" s="378"/>
      <c r="E4" s="378"/>
      <c r="F4" s="378"/>
      <c r="G4" s="378"/>
      <c r="H4" s="378"/>
    </row>
    <row r="5" spans="1:15" ht="15.75" customHeight="1">
      <c r="A5" s="1201" t="str">
        <f>"Año:  " &amp;Criterios!B5</f>
        <v>Año:  2023</v>
      </c>
      <c r="B5" s="1191" t="s">
        <v>205</v>
      </c>
      <c r="C5" s="1204"/>
      <c r="D5" s="1191" t="s">
        <v>222</v>
      </c>
      <c r="E5" s="1209"/>
      <c r="F5" s="1204"/>
      <c r="G5" s="1191" t="s">
        <v>207</v>
      </c>
      <c r="H5" s="1192"/>
      <c r="I5" s="1191" t="s">
        <v>208</v>
      </c>
      <c r="J5" s="1192"/>
      <c r="K5" s="1191" t="s">
        <v>209</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206</v>
      </c>
      <c r="D7" s="419" t="s">
        <v>107</v>
      </c>
      <c r="E7" s="419" t="s">
        <v>206</v>
      </c>
      <c r="F7" s="398" t="s">
        <v>6</v>
      </c>
      <c r="G7" s="419" t="s">
        <v>107</v>
      </c>
      <c r="H7" s="419" t="s">
        <v>210</v>
      </c>
      <c r="I7" s="419" t="s">
        <v>107</v>
      </c>
      <c r="J7" s="419" t="s">
        <v>210</v>
      </c>
      <c r="K7" s="419" t="s">
        <v>107</v>
      </c>
      <c r="L7" s="420" t="s">
        <v>210</v>
      </c>
      <c r="M7" s="420" t="s">
        <v>219</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4</v>
      </c>
      <c r="D12" s="406">
        <f>Datos!BK12</f>
        <v>0</v>
      </c>
      <c r="E12" s="406">
        <f>Datos!AQ12</f>
        <v>4</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4</v>
      </c>
      <c r="D16" s="406">
        <f>Datos!BK16</f>
        <v>0</v>
      </c>
      <c r="E16" s="406">
        <f>Datos!AQ16</f>
        <v>4</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03 may. 2024</v>
      </c>
      <c r="B23" s="394"/>
      <c r="C23" s="394"/>
    </row>
    <row r="27" spans="1:13">
      <c r="A27" s="417"/>
      <c r="B27" s="417"/>
      <c r="C27" s="417"/>
    </row>
  </sheetData>
  <sheetProtection algorithmName="SHA-512" hashValue="HwV5XBF0mTRjaQsZ7hehhqcm92MJ8jrYF9EtML07wbrIg4xCjUZZWjja80YS6C7G5drN3S4lkDmlhY0nW4JBkA==" saltValue="4m3knVlO/OSE8LR/BRs6t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election activeCell="D10" sqref="D10"/>
    </sheetView>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COMUNIDAD VALENCIANA</v>
      </c>
      <c r="C2" s="394"/>
    </row>
    <row r="3" spans="1:9" ht="19.5">
      <c r="A3" s="428" t="s">
        <v>11</v>
      </c>
      <c r="B3" s="394" t="str">
        <f>Criterios!A10 &amp;"  "&amp;Criterios!B10</f>
        <v>Provincias  VALENCIA</v>
      </c>
      <c r="C3" s="394"/>
      <c r="D3" s="428"/>
    </row>
    <row r="4" spans="1:9" ht="13.5" thickBot="1">
      <c r="B4" s="394" t="str">
        <f>Criterios!A11 &amp;"  "&amp;Criterios!B11</f>
        <v>Resumenes por Partidos Judiciales  XÀTIVA</v>
      </c>
    </row>
    <row r="5" spans="1:9" ht="15.75" customHeight="1">
      <c r="A5" s="1201" t="str">
        <f>"Año:  " &amp;Criterios!B5 &amp; "                  Trimestre   " &amp;Criterios!D5 &amp; " al " &amp;Criterios!D6</f>
        <v>Año:  2023                  Trimestre   1 al 4</v>
      </c>
      <c r="B5" s="1213" t="s">
        <v>116</v>
      </c>
      <c r="C5" s="1213" t="s">
        <v>123</v>
      </c>
      <c r="D5" s="1191" t="s">
        <v>86</v>
      </c>
      <c r="E5" s="1192"/>
      <c r="F5" s="1191" t="s">
        <v>87</v>
      </c>
      <c r="G5" s="1196"/>
      <c r="H5" s="1191" t="s">
        <v>232</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233</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15</v>
      </c>
      <c r="E10" s="407">
        <f>IF(ISNUMBER(D10/B10),D10/B10," - ")</f>
        <v>15</v>
      </c>
      <c r="F10" s="406">
        <f>IF(ISNUMBER(Datos!N10),Datos!N10," - ")</f>
        <v>1</v>
      </c>
      <c r="G10" s="407">
        <f>IF(ISNUMBER(F10/B10),F10/B10," - ")</f>
        <v>1</v>
      </c>
      <c r="H10" s="406">
        <f>IF(ISNUMBER(Datos!O10),Datos!O10," - ")</f>
        <v>3</v>
      </c>
      <c r="I10" s="407">
        <f t="shared" ref="I10:I12" si="2">IF(ISNUMBER(H10/B10),H10/B10," - ")</f>
        <v>3</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4</v>
      </c>
      <c r="C12" s="413">
        <f>Datos!AQ12</f>
        <v>4</v>
      </c>
      <c r="D12" s="406">
        <f>IF(ISNUMBER(Datos!M12),Datos!M12," - ")</f>
        <v>589</v>
      </c>
      <c r="E12" s="407">
        <f t="shared" si="0"/>
        <v>147.25</v>
      </c>
      <c r="F12" s="406">
        <f>IF(ISNUMBER(Datos!N12),Datos!N12," - ")</f>
        <v>1086</v>
      </c>
      <c r="G12" s="407">
        <f t="shared" si="1"/>
        <v>271.5</v>
      </c>
      <c r="H12" s="406">
        <f>IF(ISNUMBER(Datos!O12),Datos!O12," - ")</f>
        <v>1272</v>
      </c>
      <c r="I12" s="407">
        <f t="shared" si="2"/>
        <v>318</v>
      </c>
    </row>
    <row r="13" spans="1:9" ht="14.25" thickTop="1" thickBot="1">
      <c r="A13" s="851" t="str">
        <f>Datos!A13</f>
        <v>TOTAL</v>
      </c>
      <c r="B13" s="852">
        <f>Datos!AO13</f>
        <v>5</v>
      </c>
      <c r="C13" s="854">
        <f>Datos!AR13</f>
        <v>4</v>
      </c>
      <c r="D13" s="852">
        <f>SUBTOTAL(9,D9:D12)</f>
        <v>604</v>
      </c>
      <c r="E13" s="853">
        <f t="shared" si="0"/>
        <v>120.8</v>
      </c>
      <c r="F13" s="852">
        <f>SUBTOTAL(9,F9:F12)</f>
        <v>1087</v>
      </c>
      <c r="G13" s="853">
        <f t="shared" si="1"/>
        <v>217.4</v>
      </c>
      <c r="H13" s="852">
        <f>SUBTOTAL(9,H9:H12)</f>
        <v>1275</v>
      </c>
      <c r="I13" s="853">
        <f>IF(ISNUMBER(H13/B13),H13/B13," - ")</f>
        <v>255</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4</v>
      </c>
      <c r="C16" s="431">
        <f>Datos!AQ16</f>
        <v>4</v>
      </c>
      <c r="D16" s="406">
        <f>IF(ISNUMBER(Datos!M16),Datos!M16," - ")</f>
        <v>526</v>
      </c>
      <c r="E16" s="407">
        <f t="shared" si="3"/>
        <v>131.5</v>
      </c>
      <c r="F16" s="406">
        <f>IF(ISNUMBER(Datos!N16),Datos!N16," - ")</f>
        <v>1869</v>
      </c>
      <c r="G16" s="407">
        <f t="shared" si="4"/>
        <v>467.25</v>
      </c>
      <c r="H16" s="406">
        <f>IF(ISNUMBER(Datos!O16),Datos!O16," - ")</f>
        <v>53</v>
      </c>
      <c r="I16" s="407">
        <f t="shared" si="5"/>
        <v>13.25</v>
      </c>
    </row>
    <row r="17" spans="1:9" ht="13.5" thickBot="1">
      <c r="A17" s="405" t="str">
        <f>Datos!A17</f>
        <v>Jdos. Violencia contra la mujer</v>
      </c>
      <c r="B17" s="430">
        <f>Datos!AO17</f>
        <v>1</v>
      </c>
      <c r="C17" s="431">
        <f>Datos!AQ17</f>
        <v>0</v>
      </c>
      <c r="D17" s="406">
        <f>IF(ISNUMBER(Datos!M17),Datos!M17," - ")</f>
        <v>15</v>
      </c>
      <c r="E17" s="407">
        <f>IF(ISNUMBER(D17/B17),D17/B17," - ")</f>
        <v>15</v>
      </c>
      <c r="F17" s="406">
        <f>IF(ISNUMBER(Datos!N17),Datos!N17," - ")</f>
        <v>55</v>
      </c>
      <c r="G17" s="407">
        <f>IF(ISNUMBER(F17/B17),F17/B17," - ")</f>
        <v>55</v>
      </c>
      <c r="H17" s="406">
        <f>IF(ISNUMBER(Datos!O17),Datos!O17," - ")</f>
        <v>0</v>
      </c>
      <c r="I17" s="407">
        <f t="shared" si="5"/>
        <v>0</v>
      </c>
    </row>
    <row r="18" spans="1:9" ht="14.25" thickTop="1" thickBot="1">
      <c r="A18" s="851" t="str">
        <f>Datos!A18</f>
        <v>TOTAL</v>
      </c>
      <c r="B18" s="852">
        <f>Datos!AO18</f>
        <v>5</v>
      </c>
      <c r="C18" s="854">
        <f>Datos!AR18</f>
        <v>4</v>
      </c>
      <c r="D18" s="852">
        <f>SUBTOTAL(9,D15:D17)</f>
        <v>541</v>
      </c>
      <c r="E18" s="853">
        <f t="shared" si="3"/>
        <v>108.2</v>
      </c>
      <c r="F18" s="852">
        <f>SUBTOTAL(9,F15:F17)</f>
        <v>1924</v>
      </c>
      <c r="G18" s="853">
        <f t="shared" si="4"/>
        <v>384.8</v>
      </c>
      <c r="H18" s="852">
        <f>SUBTOTAL(9,H15:H17)</f>
        <v>53</v>
      </c>
      <c r="I18" s="853">
        <f>IF(ISNUMBER(H18/B18),H18/B18," - ")</f>
        <v>10.6</v>
      </c>
    </row>
    <row r="19" spans="1:9" ht="14.25" thickTop="1" thickBot="1">
      <c r="A19" s="796" t="str">
        <f>Datos!A19</f>
        <v>TOTAL JURISDICCIONES</v>
      </c>
      <c r="B19" s="797">
        <f>Datos!AP19</f>
        <v>4</v>
      </c>
      <c r="C19" s="797">
        <f>Datos!AR19</f>
        <v>4</v>
      </c>
      <c r="D19" s="797">
        <f>SUBTOTAL(9,D8:D18)</f>
        <v>1145</v>
      </c>
      <c r="E19" s="798">
        <f>IF(ISNUMBER(D19/B19),D19/B19," - ")</f>
        <v>286.25</v>
      </c>
      <c r="F19" s="797">
        <f>SUBTOTAL(9,F8:F18)</f>
        <v>3011</v>
      </c>
      <c r="G19" s="798">
        <f>IF(ISNUMBER(F19/B19),F19/B19," - ")</f>
        <v>752.75</v>
      </c>
      <c r="H19" s="797">
        <f>SUBTOTAL(9,H8:H18)</f>
        <v>1328</v>
      </c>
      <c r="I19" s="798">
        <f>IF(ISNUMBER(H19/B19),H19/B19," - ")</f>
        <v>332</v>
      </c>
    </row>
    <row r="22" spans="1:9">
      <c r="A22" s="394" t="str">
        <f>Criterios!A4</f>
        <v>Fecha Informe: 03 may. 2024</v>
      </c>
    </row>
    <row r="27" spans="1:9">
      <c r="A27" s="417"/>
    </row>
  </sheetData>
  <sheetProtection algorithmName="SHA-512" hashValue="0uHvSZniKib4svmgh+GhBBKSeafk604Z+YyN3g4mOKLxHDTg7/Xv3AKi/otYL5ox69Nmf5atU0H3yjvSJnasGg==" saltValue="2KhmLUTh/NuZwD7W6pds4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election activeCell="B9" sqref="B9"/>
    </sheetView>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COMUNIDAD VALENCIANA</v>
      </c>
    </row>
    <row r="3" spans="1:4" ht="19.5">
      <c r="A3" s="432" t="s">
        <v>32</v>
      </c>
      <c r="B3" s="394" t="str">
        <f>Criterios!A10 &amp;"  "&amp;Criterios!B10</f>
        <v>Provincias  VALENCIA</v>
      </c>
    </row>
    <row r="4" spans="1:4" ht="13.5" thickBot="1">
      <c r="B4" s="394" t="str">
        <f>Criterios!A11 &amp;"  "&amp;Criterios!B11</f>
        <v>Resumenes por Partidos Judiciales  XÀTIVA</v>
      </c>
    </row>
    <row r="5" spans="1:4" ht="12.75" customHeight="1">
      <c r="A5" s="1201" t="str">
        <f>"Año:  " &amp;Criterios!B5 &amp; "                  Trimestre   " &amp;Criterios!D5 &amp; " al " &amp;Criterios!D6</f>
        <v>Año:  2023                  Trimestre   1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6</v>
      </c>
      <c r="C10" s="437">
        <f>IF(ISNUMBER(Datos!Q10),Datos!Q10," - ")</f>
        <v>6</v>
      </c>
      <c r="D10" s="411">
        <f>IF(ISNUMBER(Datos!R10),Datos!R10," - ")</f>
        <v>18</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641</v>
      </c>
      <c r="C12" s="437">
        <f>IF(ISNUMBER(Datos!Q12),Datos!Q12," - ")</f>
        <v>276</v>
      </c>
      <c r="D12" s="411">
        <f>IF(ISNUMBER(Datos!R12),Datos!R12," - ")</f>
        <v>3453</v>
      </c>
    </row>
    <row r="13" spans="1:4" ht="14.25" thickTop="1" thickBot="1">
      <c r="A13" s="851" t="str">
        <f>Datos!A13</f>
        <v>TOTAL</v>
      </c>
      <c r="B13" s="852">
        <f>SUBTOTAL(9,B9:B12)</f>
        <v>647</v>
      </c>
      <c r="C13" s="856">
        <f>SUBTOTAL(9,C9:C12)</f>
        <v>282</v>
      </c>
      <c r="D13" s="854">
        <f>SUBTOTAL(9,D9:D12)</f>
        <v>3471</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112</v>
      </c>
      <c r="C16" s="437">
        <f>IF(ISNUMBER(Datos!Q16),Datos!Q16," - ")</f>
        <v>124</v>
      </c>
      <c r="D16" s="411">
        <f>IF(ISNUMBER(Datos!R16),Datos!R16," - ")</f>
        <v>136</v>
      </c>
    </row>
    <row r="17" spans="1:4" ht="13.5" thickBot="1">
      <c r="A17" s="405" t="str">
        <f>Datos!A17</f>
        <v>Jdos. Violencia contra la mujer</v>
      </c>
      <c r="B17" s="436">
        <f>IF(ISNUMBER(Datos!P17),Datos!P17," - ")</f>
        <v>3</v>
      </c>
      <c r="C17" s="437">
        <f>IF(ISNUMBER(Datos!Q17),Datos!Q17," - ")</f>
        <v>2</v>
      </c>
      <c r="D17" s="411">
        <f>IF(ISNUMBER(Datos!R17),Datos!R17," - ")</f>
        <v>3</v>
      </c>
    </row>
    <row r="18" spans="1:4" ht="14.25" thickTop="1" thickBot="1">
      <c r="A18" s="851" t="str">
        <f>Datos!A18</f>
        <v>TOTAL</v>
      </c>
      <c r="B18" s="852">
        <f>SUBTOTAL(9,B15:B17)</f>
        <v>115</v>
      </c>
      <c r="C18" s="856">
        <f>SUBTOTAL(9,C15:C17)</f>
        <v>126</v>
      </c>
      <c r="D18" s="854">
        <f>SUBTOTAL(9,D15:D17)</f>
        <v>139</v>
      </c>
    </row>
    <row r="19" spans="1:4" ht="16.5" customHeight="1" thickTop="1" thickBot="1">
      <c r="A19" s="796" t="str">
        <f>Datos!A19</f>
        <v>TOTAL JURISDICCIONES</v>
      </c>
      <c r="B19" s="801">
        <f>SUBTOTAL(9,B8:B18)</f>
        <v>762</v>
      </c>
      <c r="C19" s="802">
        <f>SUBTOTAL(9,C8:C18)</f>
        <v>408</v>
      </c>
      <c r="D19" s="803">
        <f>SUBTOTAL(9,D8:D18)</f>
        <v>3610</v>
      </c>
    </row>
    <row r="20" spans="1:4" ht="7.5" customHeight="1"/>
    <row r="21" spans="1:4" ht="6" customHeight="1"/>
    <row r="22" spans="1:4">
      <c r="A22" s="394" t="str">
        <f>Criterios!A4</f>
        <v>Fecha Informe: 03 may. 2024</v>
      </c>
    </row>
    <row r="27" spans="1:4">
      <c r="A27" s="417"/>
    </row>
  </sheetData>
  <sheetProtection algorithmName="SHA-512" hashValue="2rS3d54X3waN67Rwxx6M74giZy93+BAiNa8HtsUGM71cD7w46m4sIibIkQxzbOGtKBFLctKjHzMbX/cuGyyEtg==" saltValue="Ten3f637CRycSXKllEjI3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COMUNIDAD VALENCIANA</v>
      </c>
    </row>
    <row r="3" spans="1:11" ht="18.75" customHeight="1">
      <c r="A3" s="432" t="s">
        <v>118</v>
      </c>
      <c r="B3" s="394" t="str">
        <f>Criterios!A10 &amp;"  "&amp;Criterios!B10</f>
        <v>Provincias  VALENCIA</v>
      </c>
    </row>
    <row r="4" spans="1:11" ht="10.5" customHeight="1" thickBot="1">
      <c r="B4" s="394" t="str">
        <f>Criterios!A11 &amp;"  "&amp;Criterios!B11</f>
        <v>Resumenes por Partidos Judiciales  XÀTIVA</v>
      </c>
    </row>
    <row r="5" spans="1:11" ht="12.75" customHeight="1">
      <c r="A5" s="1201" t="str">
        <f>"Año:  " &amp;Criterios!B5 &amp; "    Trimestre   " &amp;Criterios!D5 &amp; " al " &amp;Criterios!D6</f>
        <v>Año:  2023    Trimestre   1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-0.4</v>
      </c>
      <c r="C10" s="459">
        <f>IF(ISNUMBER((Datos!J10-Datos!T10)/Datos!T10),(Datos!J10-Datos!T10)/Datos!T10," - ")</f>
        <v>-0.39285714285714285</v>
      </c>
      <c r="D10" s="459">
        <f>IF(ISNUMBER((Datos!K10-Datos!U10)/Datos!U10),(Datos!K10-Datos!U10)/Datos!U10," - ")</f>
        <v>-0.52941176470588236</v>
      </c>
      <c r="E10" s="459">
        <f>IF(ISNUMBER((Datos!L10-Datos!V10)/Datos!V10),(Datos!L10-Datos!V10)/Datos!V10," - ")</f>
        <v>0.1111111111111111</v>
      </c>
      <c r="F10" s="459">
        <f>IF(ISNUMBER((Datos!M10-Datos!W10)/Datos!W10),(Datos!M10-Datos!W10)/Datos!W10," - ")</f>
        <v>-0.11764705882352941</v>
      </c>
      <c r="G10" s="460" t="str">
        <f>IF(ISNUMBER((Datos!N10-Datos!X10)/Datos!X10),(Datos!N10-Datos!X10)/Datos!X10," - ")</f>
        <v xml:space="preserve"> - </v>
      </c>
      <c r="H10" s="458">
        <f>IF(ISNUMBER(((NºAsuntos!G10/NºAsuntos!E10)-Datos!BD10)/Datos!BD10),((NºAsuntos!G10/NºAsuntos!E10)-Datos!BD10)/Datos!BD10," - ")</f>
        <v>-0.22491349480968853</v>
      </c>
      <c r="I10" s="459">
        <f>IF(ISNUMBER(((NºAsuntos!I10/NºAsuntos!G10)-Datos!BE10)/Datos!BE10),((NºAsuntos!I10/NºAsuntos!G10)-Datos!BE10)/Datos!BE10," - ")</f>
        <v>1.3611111111111112</v>
      </c>
      <c r="J10" s="464">
        <f>IF(ISNUMBER((('Resol  Asuntos'!D10/NºAsuntos!G10)-Datos!BF10)/Datos!BF10),(('Resol  Asuntos'!D10/NºAsuntos!G10)-Datos!BF10)/Datos!BF10," - ")</f>
        <v>0.875</v>
      </c>
      <c r="K10" s="465">
        <f>IF(ISNUMBER((((NºAsuntos!C10+NºAsuntos!E10)/NºAsuntos!G10)-Datos!BG10)/Datos!BG10),(((NºAsuntos!C10+NºAsuntos!E10)/NºAsuntos!G10)-Datos!BG10)/Datos!BG10," - ")</f>
        <v>0.28488372093023262</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8.1282624906785977E-2</v>
      </c>
      <c r="C12" s="459">
        <f>IF(ISNUMBER(
   IF(J_V="SI",(Datos!J12-Datos!T12)/Datos!T12,(Datos!J12+Datos!Z12-(Datos!T12+Datos!AH12))/(Datos!T12+Datos!AH12))
     ),IF(J_V="SI",(Datos!J12-Datos!T12)/Datos!T12,(Datos!J12+Datos!Z12-(Datos!T12+Datos!AH12))/(Datos!T12+Datos!AH12))," - ")</f>
        <v>-1.1536126290224651E-2</v>
      </c>
      <c r="D12" s="459">
        <f>IF(ISNUMBER(
   IF(J_V="SI",(Datos!K12-Datos!U12)/Datos!U12,(Datos!K12+Datos!AA12-(Datos!U12+Datos!AI12))/(Datos!U12+Datos!AI12))
     ),IF(J_V="SI",(Datos!K12-Datos!U12)/Datos!U12,(Datos!K12+Datos!AA12-(Datos!U12+Datos!AI12))/(Datos!U12+Datos!AI12))," - ")</f>
        <v>-0.12778649921507065</v>
      </c>
      <c r="E12" s="459">
        <f>IF(ISNUMBER(
   IF(J_V="SI",(Datos!L12-Datos!V12)/Datos!V12,(Datos!L12+Datos!AB12-(Datos!V12+Datos!AJ12))/(Datos!V12+Datos!AJ12))
     ),IF(J_V="SI",(Datos!L12-Datos!V12)/Datos!V12,(Datos!L12+Datos!AB12-(Datos!V12+Datos!AJ12))/(Datos!V12+Datos!AJ12))," - ")</f>
        <v>0.32965517241379311</v>
      </c>
      <c r="F12" s="459">
        <f>IF(ISNUMBER((Datos!M12-Datos!W12)/Datos!W12),(Datos!M12-Datos!W12)/Datos!W12," - ")</f>
        <v>-0.19315068493150686</v>
      </c>
      <c r="G12" s="460">
        <f>IF(ISNUMBER((Datos!N12-Datos!X12)/Datos!X12),(Datos!N12-Datos!X12)/Datos!X12," - ")</f>
        <v>-6.6208082545141878E-2</v>
      </c>
      <c r="H12" s="458">
        <f>IF(ISNUMBER(((NºAsuntos!G12/NºAsuntos!E12)-Datos!BD12)/Datos!BD12),((NºAsuntos!G12/NºAsuntos!E12)-Datos!BD12)/Datos!BD12," - ")</f>
        <v>-0.11760710332138911</v>
      </c>
      <c r="I12" s="459">
        <f>IF(ISNUMBER(((NºAsuntos!I12/NºAsuntos!G12)-Datos!BE12)/Datos!BE12),((NºAsuntos!I12/NºAsuntos!G12)-Datos!BE12)/Datos!BE12," - ")</f>
        <v>0.52446066383654844</v>
      </c>
      <c r="J12" s="464">
        <f>IF(ISNUMBER((('Resol  Asuntos'!D12/NºAsuntos!G12)-Datos!BF12)/Datos!BF12),(('Resol  Asuntos'!D12/NºAsuntos!G12)-Datos!BF12)/Datos!BF12," - ")</f>
        <v>-0.41935221278600382</v>
      </c>
      <c r="K12" s="465">
        <f>IF(ISNUMBER((((NºAsuntos!C12+NºAsuntos!E12)/NºAsuntos!G12)-Datos!BG12)/Datos!BG12),(((NºAsuntos!C12+NºAsuntos!E12)/NºAsuntos!G12)-Datos!BG12)/Datos!BG12," - ")</f>
        <v>0.16407075783451874</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7.5958702064896758E-2</v>
      </c>
      <c r="C13" s="858">
        <f>IF(ISNUMBER(
   IF(J_V="SI",(Datos!J13-Datos!T13)/Datos!T13,(Datos!J13+Datos!Z13-(Datos!T13+Datos!AH13))/(Datos!T13+Datos!AH13))
     ),IF(J_V="SI",(Datos!J13-Datos!T13)/Datos!T13,(Datos!J13+Datos!Z13-(Datos!T13+Datos!AH13))/(Datos!T13+Datos!AH13))," - ")</f>
        <v>-1.4750150511739916E-2</v>
      </c>
      <c r="D13" s="858">
        <f>IF(ISNUMBER(
   IF(J_V="SI",(Datos!K13-Datos!U13)/Datos!U13,(Datos!K13+Datos!AA13-(Datos!U13+Datos!AI13))/(Datos!U13+Datos!AI13))
     ),IF(J_V="SI",(Datos!K13-Datos!U13)/Datos!U13,(Datos!K13+Datos!AA13-(Datos!U13+Datos!AI13))/(Datos!U13+Datos!AI13))," - ")</f>
        <v>-0.13202858030444237</v>
      </c>
      <c r="E13" s="858">
        <f>IF(ISNUMBER(
   IF(J_V="SI",(Datos!L13-Datos!V13)/Datos!V13,(Datos!L13+Datos!AB13-(Datos!V13+Datos!AJ13))/(Datos!V13+Datos!AJ13))
     ),IF(J_V="SI",(Datos!L13-Datos!V13)/Datos!V13,(Datos!L13+Datos!AB13-(Datos!V13+Datos!AJ13))/(Datos!V13+Datos!AJ13))," - ")</f>
        <v>0.32830705962988349</v>
      </c>
      <c r="F13" s="859">
        <f>IF(ISNUMBER((Datos!M13-Datos!W13)/Datos!W13),(Datos!M13-Datos!W13)/Datos!W13," - ")</f>
        <v>-0.19143239625167335</v>
      </c>
      <c r="G13" s="860">
        <f>IF(ISNUMBER((Datos!N13-Datos!X13)/Datos!X13),(Datos!N13-Datos!X13)/Datos!X13," - ")</f>
        <v>-6.5348237317282884E-2</v>
      </c>
      <c r="H13" s="860">
        <f>IF(ISNUMBER(((NºAsuntos!G13/NºAsuntos!E13)-Datos!BD13)/Datos!BD13),((NºAsuntos!G13/NºAsuntos!E13)-Datos!BD13)/Datos!BD13," - ")</f>
        <v>-0.11903420219106557</v>
      </c>
      <c r="I13" s="860">
        <f>IF(ISNUMBER(((NºAsuntos!I13/NºAsuntos!G13)-Datos!BE13)/Datos!BE13),((NºAsuntos!I13/NºAsuntos!G13)-Datos!BE13)/Datos!BE13," - ")</f>
        <v>0.53035806189999823</v>
      </c>
      <c r="J13" s="860">
        <f>IF(ISNUMBER((('Resol  Asuntos'!D13/NºAsuntos!G13)-Datos!BF13)/Datos!BF13),(('Resol  Asuntos'!D13/NºAsuntos!G13)-Datos!BF13)/Datos!BF13," - ")</f>
        <v>-0.41027504458706915</v>
      </c>
      <c r="K13" s="860">
        <f>IF(ISNUMBER((((NºAsuntos!C13+NºAsuntos!E13)/NºAsuntos!G13)-Datos!BG13)/Datos!BG13),(((NºAsuntos!C13+NºAsuntos!E13)/NºAsuntos!G13)-Datos!BG13)/Datos!BG13," - ")</f>
        <v>0.1654109474801406</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5.1601423487544484E-2</v>
      </c>
      <c r="C16" s="459">
        <f>IF(ISNUMBER(
   IF(D_I="SI",(Datos!J16-Datos!T16)/Datos!T16,(Datos!J16+Datos!AD16-(Datos!T16+Datos!AL16))/(Datos!T16+Datos!AL16))
     ),IF(D_I="SI",(Datos!J16-Datos!T16)/Datos!T16,(Datos!J16+Datos!AD16-(Datos!T16+Datos!AL16))/(Datos!T16+Datos!AL16))," - ")</f>
        <v>-1.1964735516372796E-2</v>
      </c>
      <c r="D16" s="459">
        <f>IF(ISNUMBER(
   IF(D_I="SI",(Datos!K16-Datos!U16)/Datos!U16,(Datos!K16+Datos!AE16-(Datos!U16+Datos!AM16))/(Datos!U16+Datos!AM16))
     ),IF(D_I="SI",(Datos!K16-Datos!U16)/Datos!U16,(Datos!K16+Datos!AE16-(Datos!U16+Datos!AM16))/(Datos!U16+Datos!AM16))," - ")</f>
        <v>-5.644644002565747E-2</v>
      </c>
      <c r="E16" s="459">
        <f>IF(ISNUMBER(
   IF(D_I="SI",(Datos!L16-Datos!V16)/Datos!V16,(Datos!L16+Datos!AF16-(Datos!V16+Datos!AN16))/(Datos!V16+Datos!AN16))
     ),IF(D_I="SI",(Datos!L16-Datos!V16)/Datos!V16,(Datos!L16+Datos!AF16-(Datos!V16+Datos!AN16))/(Datos!V16+Datos!AN16))," - ")</f>
        <v>0.16666666666666666</v>
      </c>
      <c r="F16" s="459">
        <f>IF(ISNUMBER((Datos!M16-Datos!W16)/Datos!W16),(Datos!M16-Datos!W16)/Datos!W16," - ")</f>
        <v>-0.10544217687074831</v>
      </c>
      <c r="G16" s="460">
        <f>IF(ISNUMBER((Datos!N16-Datos!X16)/Datos!X16),(Datos!N16-Datos!X16)/Datos!X16," - ")</f>
        <v>-4.1046690610569522E-2</v>
      </c>
      <c r="H16" s="458">
        <f>IF(ISNUMBER(((NºAsuntos!G16/NºAsuntos!E16)-Datos!BD16)/Datos!BD16),((NºAsuntos!G16/NºAsuntos!E16)-Datos!BD16)/Datos!BD16," - ")</f>
        <v>-4.5020361224183639E-2</v>
      </c>
      <c r="I16" s="459">
        <f>IF(ISNUMBER(((NºAsuntos!I16/NºAsuntos!G16)-Datos!BE16)/Datos!BE16),((NºAsuntos!I16/NºAsuntos!G16)-Datos!BE16)/Datos!BE16," - ")</f>
        <v>0.23646045773849989</v>
      </c>
      <c r="J16" s="464">
        <f>IF(ISNUMBER((('Resol  Asuntos'!D16/NºAsuntos!G16)-Datos!BF16)/Datos!BF16),(('Resol  Asuntos'!D16/NºAsuntos!G16)-Datos!BF16)/Datos!BF16," - ")</f>
        <v>-5.1926821034328087E-2</v>
      </c>
      <c r="K16" s="465">
        <f>IF(ISNUMBER((((NºAsuntos!C16+NºAsuntos!E16)/NºAsuntos!G16)-Datos!BG16)/Datos!BG16),(((NºAsuntos!C16+NºAsuntos!E16)/NºAsuntos!G16)-Datos!BG16)/Datos!BG16," - ")</f>
        <v>6.4752659952887454E-2</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0.83333333333333337</v>
      </c>
      <c r="C17" s="459">
        <f>IF(ISNUMBER(
   IF(D_I="SI",(Datos!J17-Datos!T17)/Datos!T17,(Datos!J17+Datos!AD17-(Datos!T17+Datos!AL17))/(Datos!T17+Datos!AL17))
     ),IF(D_I="SI",(Datos!J17-Datos!T17)/Datos!T17,(Datos!J17+Datos!AD17-(Datos!T17+Datos!AL17))/(Datos!T17+Datos!AL17))," - ")</f>
        <v>-0.81932773109243695</v>
      </c>
      <c r="D17" s="459">
        <f>IF(ISNUMBER(
   IF(D_I="SI",(Datos!K17-Datos!U17)/Datos!U17,(Datos!K17+Datos!AE17-(Datos!U17+Datos!AM17))/(Datos!U17+Datos!AM17))
     ),IF(D_I="SI",(Datos!K17-Datos!U17)/Datos!U17,(Datos!K17+Datos!AE17-(Datos!U17+Datos!AM17))/(Datos!U17+Datos!AM17))," - ")</f>
        <v>-0.61538461538461542</v>
      </c>
      <c r="E17" s="459">
        <f>IF(ISNUMBER(
   IF(D_I="SI",(Datos!L17-Datos!V17)/Datos!V17,(Datos!L17+Datos!AF17-(Datos!V17+Datos!AN17))/(Datos!V17+Datos!AN17))
     ),IF(D_I="SI",(Datos!L17-Datos!V17)/Datos!V17,(Datos!L17+Datos!AF17-(Datos!V17+Datos!AN17))/(Datos!V17+Datos!AN17))," - ")</f>
        <v>-0.56060606060606055</v>
      </c>
      <c r="F17" s="459">
        <f>IF(ISNUMBER((Datos!M17-Datos!W17)/Datos!W17),(Datos!M17-Datos!W17)/Datos!W17," - ")</f>
        <v>-0.625</v>
      </c>
      <c r="G17" s="460">
        <f>IF(ISNUMBER((Datos!N17-Datos!X17)/Datos!X17),(Datos!N17-Datos!X17)/Datos!X17," - ")</f>
        <v>-0.62068965517241381</v>
      </c>
      <c r="H17" s="458">
        <f>IF(ISNUMBER(((NºAsuntos!G17/NºAsuntos!E17)-Datos!BD17)/Datos!BD17),((NºAsuntos!G17/NºAsuntos!E17)-Datos!BD17)/Datos!BD17," - ")</f>
        <v>1.1288014311270125</v>
      </c>
      <c r="I17" s="459">
        <f>IF(ISNUMBER(((NºAsuntos!I17/NºAsuntos!G17)-Datos!BE17)/Datos!BE17),((NºAsuntos!I17/NºAsuntos!G17)-Datos!BE17)/Datos!BE17," - ")</f>
        <v>0.14242424242424245</v>
      </c>
      <c r="J17" s="464">
        <f>IF(ISNUMBER((('Resol  Asuntos'!D17/NºAsuntos!G17)-Datos!BF17)/Datos!BF17),(('Resol  Asuntos'!D17/NºAsuntos!G17)-Datos!BF17)/Datos!BF17," - ")</f>
        <v>-2.5000000000000053E-2</v>
      </c>
      <c r="K17" s="465">
        <f>IF(ISNUMBER((((NºAsuntos!C17+NºAsuntos!E17)/NºAsuntos!G17)-Datos!BG17)/Datos!BG17),(((NºAsuntos!C17+NºAsuntos!E17)/NºAsuntos!G17)-Datos!BG17)/Datos!BG17," - ")</f>
        <v>3.4306569343065738E-2</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7.586206896551724E-2</v>
      </c>
      <c r="C18" s="858">
        <f>IF(ISNUMBER(
   IF(Criterios!B14="SI",(Datos!J18-Datos!T18)/Datos!T18,(Datos!J18+Datos!AD18-(Datos!T18+Datos!AL18))/(Datos!T18+Datos!AL18))
     ),IF(Criterios!B14="SI",(Datos!J18-Datos!T18)/Datos!T18,(Datos!J18+Datos!AD18-(Datos!T18+Datos!AL18))/(Datos!T18+Datos!AL18))," - ")</f>
        <v>-6.8248388986526062E-2</v>
      </c>
      <c r="D18" s="858">
        <f>IF(ISNUMBER(
   IF(Criterios!B14="SI",(Datos!K18-Datos!U18)/Datos!U18,(Datos!K18+Datos!AE18-(Datos!U18+Datos!AM18))/(Datos!U18+Datos!AM18))
     ),IF(Criterios!B14="SI",(Datos!K18-Datos!U18)/Datos!U18,(Datos!K18+Datos!AE18-(Datos!U18+Datos!AM18))/(Datos!U18+Datos!AM18))," - ")</f>
        <v>-9.140108238123873E-2</v>
      </c>
      <c r="E18" s="858">
        <f>IF(ISNUMBER(
   IF(Criterios!B14="SI",(Datos!L18-Datos!V18)/Datos!V18,(Datos!L18+Datos!AF18-(Datos!V18+Datos!AN18))/(Datos!V18+Datos!AN18))
     ),IF(Criterios!B14="SI",(Datos!L18-Datos!V18)/Datos!V18,(Datos!L18+Datos!AF18-(Datos!V18+Datos!AN18))/(Datos!V18+Datos!AN18))," - ")</f>
        <v>0.12820512820512819</v>
      </c>
      <c r="F18" s="859">
        <f>IF(ISNUMBER((Datos!M18-Datos!W18)/Datos!W18),(Datos!M18-Datos!W18)/Datos!W18," - ")</f>
        <v>-0.13853503184713375</v>
      </c>
      <c r="G18" s="860">
        <f>IF(ISNUMBER((Datos!N18-Datos!X18)/Datos!X18),(Datos!N18-Datos!X18)/Datos!X18," - ")</f>
        <v>-8.1184336198662846E-2</v>
      </c>
      <c r="H18" s="860">
        <f>IF(ISNUMBER(((NºAsuntos!G18/NºAsuntos!E18)-Datos!BD18)/Datos!BD18),((NºAsuntos!G18/NºAsuntos!E18)-Datos!BD18)/Datos!BD18," - ")</f>
        <v>-2.4848568138808227E-2</v>
      </c>
      <c r="I18" s="860">
        <f>IF(ISNUMBER(((NºAsuntos!I18/NºAsuntos!G18)-Datos!BE18)/Datos!BE18),((NºAsuntos!I18/NºAsuntos!G18)-Datos!BE18)/Datos!BE18," - ")</f>
        <v>0.24169763613840384</v>
      </c>
      <c r="J18" s="860">
        <f>IF(ISNUMBER((('Resol  Asuntos'!D18/NºAsuntos!G18)-Datos!BF18)/Datos!BF18),(('Resol  Asuntos'!D18/NºAsuntos!G18)-Datos!BF18)/Datos!BF18," - ")</f>
        <v>-5.1875418902570136E-2</v>
      </c>
      <c r="K18" s="860">
        <f>IF(ISNUMBER((((NºAsuntos!C18+NºAsuntos!E18)/NºAsuntos!G18)-Datos!BG18)/Datos!BG18),(((NºAsuntos!C18+NºAsuntos!E18)/NºAsuntos!G18)-Datos!BG18)/Datos!BG18," - ")</f>
        <v>6.5705739892587739E-2</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7.5914149443561202E-2</v>
      </c>
      <c r="C19" s="805">
        <f>IF(ISNUMBER(
   IF(J_V="SI",(Datos!J19-Datos!T19)/Datos!T19,(Datos!J19+Datos!Z19-(Datos!T19+Datos!AH19))/(Datos!T19+Datos!AH19))
     ),IF(J_V="SI",(Datos!J19-Datos!T19)/Datos!T19,(Datos!J19+Datos!Z19-(Datos!T19+Datos!AH19))/(Datos!T19+Datos!AH19))," - ")</f>
        <v>-4.1864608076009502E-2</v>
      </c>
      <c r="D19" s="805">
        <f>IF(ISNUMBER(
   IF(J_V="SI",(Datos!K19-Datos!U19)/Datos!U19,(Datos!K19+Datos!AA19-(Datos!U19+Datos!AI19))/(Datos!U19+Datos!AI19))
     ),IF(J_V="SI",(Datos!K19-Datos!U19)/Datos!U19,(Datos!K19+Datos!AA19-(Datos!U19+Datos!AI19))/(Datos!U19+Datos!AI19))," - ")</f>
        <v>-0.11138273491214667</v>
      </c>
      <c r="E19" s="805">
        <f>IF(ISNUMBER(
   IF(J_V="SI",(Datos!L19-Datos!V19)/Datos!V19,(Datos!L19+Datos!AB19-(Datos!V19+Datos!AJ19))/(Datos!V19+Datos!AJ19))
     ),IF(J_V="SI",(Datos!L19-Datos!V19)/Datos!V19,(Datos!L19+Datos!AB19-(Datos!V19+Datos!AJ19))/(Datos!V19+Datos!AJ19))," - ")</f>
        <v>0.23605467306981898</v>
      </c>
      <c r="F19" s="806">
        <f>IF(ISNUMBER((Datos!M19-Datos!W19)/Datos!W19),(Datos!M19-Datos!W19)/Datos!W19," - ")</f>
        <v>-0.16727272727272727</v>
      </c>
      <c r="G19" s="807">
        <f>IF(ISNUMBER((Datos!N19-Datos!X19)/Datos!X19),(Datos!N19-Datos!X19)/Datos!X19," - ")</f>
        <v>-7.5529628492477741E-2</v>
      </c>
      <c r="H19" s="808">
        <f>IF(ISNUMBER((Tasas!B19-Datos!BD19)/Datos!BD19),(Tasas!B19-Datos!BD19)/Datos!BD19," - ")</f>
        <v>-7.2555640280170419E-2</v>
      </c>
      <c r="I19" s="809">
        <f>IF(ISNUMBER((Tasas!C19-Datos!BE19)/Datos!BE19),(Tasas!C19-Datos!BE19)/Datos!BE19," - ")</f>
        <v>0.39098656039235996</v>
      </c>
      <c r="J19" s="810">
        <f>IF(ISNUMBER((Tasas!D19-Datos!BF19)/Datos!BF19),(Tasas!D19-Datos!BF19)/Datos!BF19," - ")</f>
        <v>-0.2873237049762023</v>
      </c>
      <c r="K19" s="810">
        <f>IF(ISNUMBER((Tasas!E19-Datos!BG19)/Datos!BG19),(Tasas!E19-Datos!BG19)/Datos!BG19," - ")</f>
        <v>0.11427532156324711</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03 may.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j+RZCWWzMfMUXy2pODrIdaA8POVki6FixMUlCSjC44+BTnuRHEK7q8vcG+Nz4xGgnYE1YquW6L7zyTj8N3iJjA==" saltValue="ExmATsPx1QRfUsgyoVzpy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COMUNIDAD VALENCIANA</v>
      </c>
    </row>
    <row r="3" spans="1:7" ht="19.5">
      <c r="A3" s="439" t="s">
        <v>12</v>
      </c>
      <c r="B3" s="394" t="str">
        <f>Criterios!A10 &amp;"  "&amp;Criterios!B10</f>
        <v>Provincias  VALENCIA</v>
      </c>
    </row>
    <row r="4" spans="1:7" ht="11.25" customHeight="1" thickBot="1">
      <c r="B4" s="394" t="str">
        <f>Criterios!A11 &amp;"  "&amp;Criterios!B11</f>
        <v>Resumenes por Partidos Judiciales  XÀTIVA</v>
      </c>
    </row>
    <row r="5" spans="1:7" ht="12.75" customHeight="1">
      <c r="A5" s="1201" t="str">
        <f>"Año:  " &amp;Criterios!B5 &amp; "    Trimestre   " &amp;Criterios!D5 &amp; " al " &amp;Criterios!D6</f>
        <v>Año:  2023    Trimestre   1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0.94117647058823528</v>
      </c>
      <c r="C10" s="446">
        <f>IF(ISNUMBER(NºAsuntos!I10/NºAsuntos!G10),NºAsuntos!I10/NºAsuntos!G10," - ")</f>
        <v>0.625</v>
      </c>
      <c r="D10" s="447">
        <f>IF(ISNUMBER('Resol  Asuntos'!D10/NºAsuntos!G10),'Resol  Asuntos'!D10/NºAsuntos!G10," - ")</f>
        <v>0.9375</v>
      </c>
      <c r="E10" s="448">
        <f>IF(ISNUMBER((NºAsuntos!C10+NºAsuntos!E10)/NºAsuntos!G10),(NºAsuntos!C10+NºAsuntos!E10)/NºAsuntos!G10," - ")</f>
        <v>1.625</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0.85319410319410316</v>
      </c>
      <c r="C12" s="446">
        <f>IF(ISNUMBER(NºAsuntos!I12/NºAsuntos!G12),NºAsuntos!I12/NºAsuntos!G12," - ")</f>
        <v>0.69402447804175671</v>
      </c>
      <c r="D12" s="447">
        <f>IF(ISNUMBER('Resol  Asuntos'!D12/NºAsuntos!G12),'Resol  Asuntos'!D12/NºAsuntos!G12," - ")</f>
        <v>0.21202303815694745</v>
      </c>
      <c r="E12" s="448">
        <f>IF(ISNUMBER((NºAsuntos!C12+NºAsuntos!E12)/NºAsuntos!G12),(NºAsuntos!C12+NºAsuntos!E12)/NºAsuntos!G12," - ")</f>
        <v>1.6940244780417566</v>
      </c>
      <c r="G12" s="466"/>
    </row>
    <row r="13" spans="1:7" ht="14.25" thickTop="1" thickBot="1">
      <c r="A13" s="851" t="str">
        <f>Datos!A13</f>
        <v>TOTAL</v>
      </c>
      <c r="B13" s="861">
        <f>IF(ISNUMBER(NºAsuntos!G13/NºAsuntos!E13),NºAsuntos!G13/NºAsuntos!E13," - ")</f>
        <v>0.85365108463183625</v>
      </c>
      <c r="C13" s="862">
        <f>IF(ISNUMBER(NºAsuntos!I13/NºAsuntos!G13),NºAsuntos!I13/NºAsuntos!G13," - ")</f>
        <v>0.6936292054402291</v>
      </c>
      <c r="D13" s="863">
        <f>IF(ISNUMBER('Resol  Asuntos'!D13/NºAsuntos!G13),'Resol  Asuntos'!D13/NºAsuntos!G13," - ")</f>
        <v>0.21617752326413744</v>
      </c>
      <c r="E13" s="864">
        <f>IF(ISNUMBER((NºAsuntos!C13+NºAsuntos!E13)/NºAsuntos!G13),(NºAsuntos!C13+NºAsuntos!E13)/NºAsuntos!G13," - ")</f>
        <v>1.6936292054402291</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0.93753983428935628</v>
      </c>
      <c r="C16" s="446">
        <f>IF(ISNUMBER(NºAsuntos!I16/NºAsuntos!G16),NºAsuntos!I16/NºAsuntos!G16," - ")</f>
        <v>0.46872875594833446</v>
      </c>
      <c r="D16" s="447">
        <f>IF(ISNUMBER('Resol  Asuntos'!D16/NºAsuntos!G16),'Resol  Asuntos'!D16/NºAsuntos!G16," - ")</f>
        <v>0.17878993881713121</v>
      </c>
      <c r="E16" s="448">
        <f>IF(ISNUMBER((NºAsuntos!C16+NºAsuntos!E16)/NºAsuntos!G16),(NºAsuntos!C16+NºAsuntos!E16)/NºAsuntos!G16," - ")</f>
        <v>1.4683888511216858</v>
      </c>
      <c r="G16" s="466"/>
    </row>
    <row r="17" spans="1:7" ht="13.5" thickBot="1">
      <c r="A17" s="405" t="str">
        <f>Datos!A17</f>
        <v>Jdos. Violencia contra la mujer</v>
      </c>
      <c r="B17" s="445">
        <f>IF(ISNUMBER(NºAsuntos!G17/NºAsuntos!E17),NºAsuntos!G17/NºAsuntos!E17," - ")</f>
        <v>1.8604651162790697</v>
      </c>
      <c r="C17" s="446">
        <f>IF(ISNUMBER(NºAsuntos!I17/NºAsuntos!G17),NºAsuntos!I17/NºAsuntos!G17," - ")</f>
        <v>0.36249999999999999</v>
      </c>
      <c r="D17" s="447">
        <f>IF(ISNUMBER('Resol  Asuntos'!D17/NºAsuntos!G17),'Resol  Asuntos'!D17/NºAsuntos!G17," - ")</f>
        <v>0.1875</v>
      </c>
      <c r="E17" s="448">
        <f>IF(ISNUMBER((NºAsuntos!C17+NºAsuntos!E17)/NºAsuntos!G17),(NºAsuntos!C17+NºAsuntos!E17)/NºAsuntos!G17," - ")</f>
        <v>1.3625</v>
      </c>
      <c r="G17" s="466"/>
    </row>
    <row r="18" spans="1:7" ht="14.25" thickTop="1" thickBot="1">
      <c r="A18" s="851" t="str">
        <f>Datos!A18</f>
        <v>TOTAL</v>
      </c>
      <c r="B18" s="861">
        <f>IF(ISNUMBER(NºAsuntos!G18/NºAsuntos!E18),NºAsuntos!G18/NºAsuntos!E18," - ")</f>
        <v>0.95001571832756992</v>
      </c>
      <c r="C18" s="862">
        <f>IF(ISNUMBER(NºAsuntos!I18/NºAsuntos!G18),NºAsuntos!I18/NºAsuntos!G18," - ")</f>
        <v>0.46591661151555264</v>
      </c>
      <c r="D18" s="865">
        <f>IF(ISNUMBER('Resol  Asuntos'!D18/NºAsuntos!G18),'Resol  Asuntos'!D18/NºAsuntos!G18," - ")</f>
        <v>0.17902051621442752</v>
      </c>
      <c r="E18" s="864">
        <f>IF(ISNUMBER((NºAsuntos!C18+NºAsuntos!E18)/NºAsuntos!G18),(NºAsuntos!C18+NºAsuntos!E18)/NºAsuntos!G18," - ")</f>
        <v>1.4655857048312375</v>
      </c>
      <c r="G18" s="466"/>
    </row>
    <row r="19" spans="1:7" ht="15.75" customHeight="1" thickTop="1" thickBot="1">
      <c r="A19" s="796" t="str">
        <f>Datos!A19</f>
        <v>TOTAL JURISDICCIONES</v>
      </c>
      <c r="B19" s="811">
        <f>IF(ISNUMBER(NºAsuntos!G19/NºAsuntos!E19),NºAsuntos!G19/NºAsuntos!E19," - ")</f>
        <v>0.90114657576696622</v>
      </c>
      <c r="C19" s="812">
        <f>IF(ISNUMBER(NºAsuntos!I19/NºAsuntos!G19),NºAsuntos!I19/NºAsuntos!G19," - ")</f>
        <v>0.57530949105914719</v>
      </c>
      <c r="D19" s="813">
        <f>IF(ISNUMBER('Resol  Asuntos'!D19/NºAsuntos!G19),'Resol  Asuntos'!D19/NºAsuntos!G19," - ")</f>
        <v>0.1968707015130674</v>
      </c>
      <c r="E19" s="814">
        <f>IF(ISNUMBER((NºAsuntos!C19+NºAsuntos!E19)/NºAsuntos!G19),(NºAsuntos!C19+NºAsuntos!E19)/NºAsuntos!G19," - ")</f>
        <v>1.5751375515818431</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03 may.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GFx+jiWYrKjZFPzK9OKGGPtTr9M9I1XVjCWNrlaJfQk5VT6BvmdF8EfQj8SZ1WnL7SGygqLo3oD6r9My5h0Osg==" saltValue="UvsAsQV9olR9NP8Bu53de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N11" sqref="N11"/>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COMUNIDAD VALENCIANA</v>
      </c>
      <c r="G2" s="266"/>
      <c r="H2" s="265"/>
      <c r="I2" s="265"/>
      <c r="J2" s="265"/>
      <c r="K2" s="265"/>
      <c r="L2" s="265" t="str">
        <f>Criterios!A10 &amp;"  "&amp;Criterios!B10</f>
        <v>Provincias  VALENCIA</v>
      </c>
      <c r="N2" s="265" t="str">
        <f>Criterios!A11 &amp;"  "&amp;Criterios!B11</f>
        <v>Resumenes por Partidos Judiciales  XÀTIVA</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76" t="s">
        <v>351</v>
      </c>
      <c r="B5" s="275"/>
      <c r="C5" s="1279" t="str">
        <f>"Año:  " &amp;Criterios!B$5 &amp; "          Trimestre   " &amp;Criterios!D$5 &amp; " al " &amp;Criterios!D$6</f>
        <v>Año:  2023          Trimestre   1 al 4</v>
      </c>
      <c r="D5" s="1249" t="s">
        <v>376</v>
      </c>
      <c r="E5" s="1249" t="s">
        <v>318</v>
      </c>
      <c r="F5" s="1281" t="s">
        <v>406</v>
      </c>
      <c r="G5" s="1284" t="s">
        <v>128</v>
      </c>
      <c r="H5" s="1240" t="s">
        <v>160</v>
      </c>
      <c r="I5" s="1240" t="s">
        <v>164</v>
      </c>
      <c r="J5" s="1240" t="s">
        <v>165</v>
      </c>
      <c r="K5" s="1240" t="s">
        <v>407</v>
      </c>
      <c r="L5" s="1240" t="s">
        <v>587</v>
      </c>
      <c r="M5" s="1240" t="s">
        <v>322</v>
      </c>
      <c r="N5" s="1240" t="s">
        <v>377</v>
      </c>
      <c r="O5" s="1240" t="s">
        <v>409</v>
      </c>
      <c r="P5" s="1240" t="s">
        <v>163</v>
      </c>
      <c r="Q5" s="1240" t="s">
        <v>41</v>
      </c>
      <c r="R5" s="1255" t="s">
        <v>166</v>
      </c>
      <c r="S5" s="1258" t="s">
        <v>169</v>
      </c>
      <c r="T5" s="1246" t="s">
        <v>170</v>
      </c>
      <c r="U5" s="1243" t="s">
        <v>171</v>
      </c>
      <c r="V5" s="1270" t="s">
        <v>320</v>
      </c>
      <c r="W5" s="1287" t="s">
        <v>172</v>
      </c>
      <c r="X5" s="1290" t="s">
        <v>173</v>
      </c>
      <c r="Y5" s="1290" t="s">
        <v>174</v>
      </c>
      <c r="Z5" s="1273" t="s">
        <v>175</v>
      </c>
      <c r="AA5" s="1261" t="s">
        <v>176</v>
      </c>
      <c r="AB5" s="1240" t="s">
        <v>177</v>
      </c>
      <c r="AC5" s="1240" t="s">
        <v>178</v>
      </c>
      <c r="AD5" s="1293" t="s">
        <v>179</v>
      </c>
      <c r="AE5" s="1249" t="s">
        <v>182</v>
      </c>
      <c r="AF5" s="1264" t="s">
        <v>180</v>
      </c>
      <c r="AG5" s="1240" t="s">
        <v>181</v>
      </c>
      <c r="AH5" s="1255" t="s">
        <v>200</v>
      </c>
      <c r="AI5" s="1261" t="s">
        <v>183</v>
      </c>
      <c r="AJ5" s="1267" t="s">
        <v>247</v>
      </c>
      <c r="AK5" s="1252" t="s">
        <v>248</v>
      </c>
      <c r="AL5" s="1249" t="s">
        <v>249</v>
      </c>
      <c r="AM5" s="1249" t="s">
        <v>359</v>
      </c>
      <c r="AN5" s="1249" t="s">
        <v>250</v>
      </c>
      <c r="AO5" s="1249" t="s">
        <v>251</v>
      </c>
      <c r="AP5" s="1249" t="s">
        <v>301</v>
      </c>
      <c r="AQ5" s="1249" t="s">
        <v>184</v>
      </c>
      <c r="AR5" s="1249" t="s">
        <v>185</v>
      </c>
      <c r="AS5" s="1249" t="s">
        <v>388</v>
      </c>
      <c r="AT5" s="1249" t="s">
        <v>294</v>
      </c>
      <c r="AU5" s="1249" t="s">
        <v>295</v>
      </c>
      <c r="AV5" s="1249" t="s">
        <v>333</v>
      </c>
      <c r="AW5" s="1249" t="s">
        <v>839</v>
      </c>
      <c r="AX5" s="1249" t="s">
        <v>321</v>
      </c>
      <c r="AY5" s="1249" t="s">
        <v>753</v>
      </c>
      <c r="AZ5" s="1249" t="s">
        <v>754</v>
      </c>
      <c r="BF5" s="1238" t="s">
        <v>201</v>
      </c>
      <c r="BG5" s="1239"/>
      <c r="BH5" s="1238" t="s">
        <v>202</v>
      </c>
      <c r="BI5" s="1239"/>
      <c r="BJ5" s="1238" t="s">
        <v>203</v>
      </c>
      <c r="BK5" s="1239"/>
      <c r="BL5" s="1238" t="s">
        <v>204</v>
      </c>
      <c r="BM5" s="1239"/>
    </row>
    <row r="6" spans="1:65" ht="21.75" customHeight="1">
      <c r="A6" s="1277"/>
      <c r="B6" s="276"/>
      <c r="C6" s="1280"/>
      <c r="D6" s="1250"/>
      <c r="E6" s="1250"/>
      <c r="F6" s="1282"/>
      <c r="G6" s="1285"/>
      <c r="H6" s="1241"/>
      <c r="I6" s="1241"/>
      <c r="J6" s="1241"/>
      <c r="K6" s="1241"/>
      <c r="L6" s="1241"/>
      <c r="M6" s="1241"/>
      <c r="N6" s="1241"/>
      <c r="O6" s="1241"/>
      <c r="P6" s="1241"/>
      <c r="Q6" s="1241"/>
      <c r="R6" s="1256"/>
      <c r="S6" s="1259"/>
      <c r="T6" s="1247"/>
      <c r="U6" s="1244"/>
      <c r="V6" s="1271"/>
      <c r="W6" s="1288"/>
      <c r="X6" s="1291"/>
      <c r="Y6" s="1291"/>
      <c r="Z6" s="1274"/>
      <c r="AA6" s="1262"/>
      <c r="AB6" s="1241"/>
      <c r="AC6" s="1241"/>
      <c r="AD6" s="1294"/>
      <c r="AE6" s="1250"/>
      <c r="AF6" s="1265"/>
      <c r="AG6" s="1241"/>
      <c r="AH6" s="1256"/>
      <c r="AI6" s="1262"/>
      <c r="AJ6" s="1268"/>
      <c r="AK6" s="1253"/>
      <c r="AL6" s="1250"/>
      <c r="AM6" s="1250"/>
      <c r="AN6" s="1250"/>
      <c r="AO6" s="1250"/>
      <c r="AP6" s="1250"/>
      <c r="AQ6" s="1250"/>
      <c r="AR6" s="1250"/>
      <c r="AS6" s="1250"/>
      <c r="AT6" s="1250"/>
      <c r="AU6" s="1250"/>
      <c r="AV6" s="1250"/>
      <c r="AW6" s="1250"/>
      <c r="AX6" s="1250"/>
      <c r="AY6" s="1250"/>
      <c r="AZ6" s="1250"/>
      <c r="BF6" s="1236" t="s">
        <v>161</v>
      </c>
      <c r="BG6" s="1236" t="s">
        <v>162</v>
      </c>
      <c r="BH6" s="1236" t="s">
        <v>161</v>
      </c>
      <c r="BI6" s="1236" t="s">
        <v>162</v>
      </c>
      <c r="BJ6" s="1236" t="s">
        <v>161</v>
      </c>
      <c r="BK6" s="1236" t="s">
        <v>162</v>
      </c>
      <c r="BL6" s="1236" t="s">
        <v>161</v>
      </c>
      <c r="BM6" s="1236" t="s">
        <v>162</v>
      </c>
    </row>
    <row r="7" spans="1:65" ht="38.25" customHeight="1" thickBot="1">
      <c r="A7" s="1278"/>
      <c r="B7" s="277"/>
      <c r="C7" s="267" t="str">
        <f>Datos!A7</f>
        <v>COMPETENCIAS</v>
      </c>
      <c r="D7" s="1251"/>
      <c r="E7" s="1251"/>
      <c r="F7" s="1283"/>
      <c r="G7" s="1286"/>
      <c r="H7" s="1242"/>
      <c r="I7" s="1242"/>
      <c r="J7" s="1242"/>
      <c r="K7" s="1242"/>
      <c r="L7" s="1242"/>
      <c r="M7" s="1242"/>
      <c r="N7" s="1242"/>
      <c r="O7" s="1242"/>
      <c r="P7" s="1242"/>
      <c r="Q7" s="1242"/>
      <c r="R7" s="1257"/>
      <c r="S7" s="1260"/>
      <c r="T7" s="1248"/>
      <c r="U7" s="1245"/>
      <c r="V7" s="1272"/>
      <c r="W7" s="1289"/>
      <c r="X7" s="1292"/>
      <c r="Y7" s="1292"/>
      <c r="Z7" s="1275"/>
      <c r="AA7" s="1263"/>
      <c r="AB7" s="1242"/>
      <c r="AC7" s="1242"/>
      <c r="AD7" s="1295"/>
      <c r="AE7" s="1251"/>
      <c r="AF7" s="1266"/>
      <c r="AG7" s="1242"/>
      <c r="AH7" s="1257"/>
      <c r="AI7" s="1263"/>
      <c r="AJ7" s="1269"/>
      <c r="AK7" s="1254"/>
      <c r="AL7" s="1251"/>
      <c r="AM7" s="1251"/>
      <c r="AN7" s="1251"/>
      <c r="AO7" s="1251"/>
      <c r="AP7" s="1251"/>
      <c r="AQ7" s="1251"/>
      <c r="AR7" s="1251"/>
      <c r="AS7" s="1251"/>
      <c r="AT7" s="1251"/>
      <c r="AU7" s="1251"/>
      <c r="AV7" s="1251"/>
      <c r="AW7" s="1251"/>
      <c r="AX7" s="1251"/>
      <c r="AY7" s="1251"/>
      <c r="AZ7" s="1251"/>
      <c r="BF7" s="1237"/>
      <c r="BG7" s="1237"/>
      <c r="BH7" s="1237"/>
      <c r="BI7" s="1237"/>
      <c r="BJ7" s="1237"/>
      <c r="BK7" s="1237"/>
      <c r="BL7" s="1237"/>
      <c r="BM7" s="1237"/>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246</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246</v>
      </c>
      <c r="C10" s="7" t="str">
        <f>Datos!A10</f>
        <v>Jdos. Violencia contra la mujer</v>
      </c>
      <c r="D10" s="7"/>
      <c r="E10" s="1028">
        <f>IF(ISNUMBER(Datos!AQ10),Datos!AQ10," - ")</f>
        <v>0</v>
      </c>
      <c r="F10" s="228">
        <f>IF(ISNUMBER(Datos!L10+Datos!K10-Datos!J10-K10),Datos!L10+Datos!K10-Datos!J10-K10," - ")</f>
        <v>9</v>
      </c>
      <c r="G10" s="336">
        <f>IF(ISNUMBER(Datos!I10),Datos!I10," - ")</f>
        <v>9</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6</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16</v>
      </c>
      <c r="X10" s="229">
        <f>IF(ISNUMBER(Datos!Q10),Datos!Q10," - ")</f>
        <v>6</v>
      </c>
      <c r="Y10" s="337">
        <f t="shared" ref="Y10:Y12" si="0">SUM(W10:X10)</f>
        <v>22</v>
      </c>
      <c r="Z10" s="338" t="str">
        <f>IF(ISNUMBER(Datos!CC10),Datos!CC10," - ")</f>
        <v xml:space="preserve"> - </v>
      </c>
      <c r="AA10" s="335">
        <f>IF(ISNUMBER(Datos!L10),Datos!L10,"-")</f>
        <v>10</v>
      </c>
      <c r="AB10" s="337">
        <f>IF(ISNUMBER(Datos!R10),Datos!R10," - ")</f>
        <v>18</v>
      </c>
      <c r="AC10" s="337">
        <f t="shared" ref="AC10:AC12" si="1">IF(ISNUMBER(AA10+AB10),AA10+AB10," - ")</f>
        <v>28</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15</v>
      </c>
      <c r="AJ10" s="234" t="str">
        <f>IF(ISNUMBER(Datos!BW10),Datos!BW10," - ")</f>
        <v xml:space="preserve"> - </v>
      </c>
      <c r="AK10" s="235" t="str">
        <f>IF(ISNUMBER(Datos!BX10),Datos!BX10," - ")</f>
        <v xml:space="preserve"> - </v>
      </c>
      <c r="AL10" s="246">
        <f>IF(ISNUMBER(NºAsuntos!G10/NºAsuntos!E10),NºAsuntos!G10/NºAsuntos!E10," - ")</f>
        <v>0.94117647058823528</v>
      </c>
      <c r="AM10" s="263">
        <f>IF(ISNUMBER(((NºAsuntos!I10/NºAsuntos!G10)*11)/factor_trimestre),((NºAsuntos!I10/NºAsuntos!G10)*11)/factor_trimestre," - ")</f>
        <v>6.875</v>
      </c>
      <c r="AN10" s="247">
        <f>IF(ISNUMBER('Resol  Asuntos'!D10/NºAsuntos!G10),'Resol  Asuntos'!D10/NºAsuntos!G10," - ")</f>
        <v>0.9375</v>
      </c>
      <c r="AO10" s="248">
        <f>IF(ISNUMBER((NºAsuntos!C10+NºAsuntos!E10)/NºAsuntos!G10),(NºAsuntos!C10+NºAsuntos!E10)/NºAsuntos!G10," - ")</f>
        <v>1.625</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246</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4</v>
      </c>
      <c r="B12" s="278" t="s">
        <v>246</v>
      </c>
      <c r="C12" s="7" t="str">
        <f>Datos!A12</f>
        <v xml:space="preserve">Jdos. 1ª Instª. e Instr.                        </v>
      </c>
      <c r="D12" s="7"/>
      <c r="E12" s="1028">
        <f>IF(ISNUMBER(Datos!AQ12),Datos!AQ12," - ")</f>
        <v>4</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641</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276</v>
      </c>
      <c r="Y12" s="337">
        <f t="shared" si="0"/>
        <v>276</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3453</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589</v>
      </c>
      <c r="AJ12" s="232" t="str">
        <f>IF(ISNUMBER(Datos!BW12),Datos!BW12," - ")</f>
        <v xml:space="preserve"> - </v>
      </c>
      <c r="AK12" s="231" t="str">
        <f>IF(ISNUMBER(Datos!BX12),Datos!BX12," - ")</f>
        <v xml:space="preserve"> - </v>
      </c>
      <c r="AL12" s="246">
        <f>IF(ISNUMBER(NºAsuntos!G12/NºAsuntos!E12),NºAsuntos!G12/NºAsuntos!E12," - ")</f>
        <v>0.85319410319410316</v>
      </c>
      <c r="AM12" s="263">
        <f>IF(ISNUMBER(((NºAsuntos!I12/NºAsuntos!G12)*11)/factor_trimestre),((NºAsuntos!I12/NºAsuntos!G12)*11)/factor_trimestre," - ")</f>
        <v>7.6342692584593239</v>
      </c>
      <c r="AN12" s="247">
        <f>IF(ISNUMBER('Resol  Asuntos'!D12/NºAsuntos!G12),'Resol  Asuntos'!D12/NºAsuntos!G12," - ")</f>
        <v>0.21202303815694745</v>
      </c>
      <c r="AO12" s="248">
        <f>IF(ISNUMBER((NºAsuntos!C12+NºAsuntos!E12)/NºAsuntos!G12),(NºAsuntos!C12+NºAsuntos!E12)/NºAsuntos!G12," - ")</f>
        <v>1.6940244780417566</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4</v>
      </c>
      <c r="F13" s="868">
        <f t="shared" si="3"/>
        <v>9</v>
      </c>
      <c r="G13" s="869">
        <f t="shared" si="3"/>
        <v>9</v>
      </c>
      <c r="H13" s="868">
        <f t="shared" si="3"/>
        <v>0</v>
      </c>
      <c r="I13" s="870">
        <f t="shared" si="3"/>
        <v>0</v>
      </c>
      <c r="J13" s="870">
        <f t="shared" si="3"/>
        <v>0</v>
      </c>
      <c r="K13" s="870">
        <f t="shared" si="3"/>
        <v>0</v>
      </c>
      <c r="L13" s="870">
        <f t="shared" si="3"/>
        <v>647</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16</v>
      </c>
      <c r="X13" s="870">
        <f t="shared" si="4"/>
        <v>282</v>
      </c>
      <c r="Y13" s="871">
        <f t="shared" si="4"/>
        <v>298</v>
      </c>
      <c r="Z13" s="871">
        <f t="shared" si="4"/>
        <v>0</v>
      </c>
      <c r="AA13" s="871">
        <f t="shared" si="4"/>
        <v>10</v>
      </c>
      <c r="AB13" s="871">
        <f t="shared" si="4"/>
        <v>3471</v>
      </c>
      <c r="AC13" s="871">
        <f t="shared" si="4"/>
        <v>28</v>
      </c>
      <c r="AD13" s="871">
        <f t="shared" si="4"/>
        <v>0</v>
      </c>
      <c r="AE13" s="875">
        <f t="shared" si="4"/>
        <v>0</v>
      </c>
      <c r="AF13" s="868">
        <f t="shared" si="4"/>
        <v>0</v>
      </c>
      <c r="AG13" s="876">
        <f t="shared" si="4"/>
        <v>0</v>
      </c>
      <c r="AH13" s="873">
        <f t="shared" si="4"/>
        <v>0</v>
      </c>
      <c r="AI13" s="868">
        <f t="shared" si="4"/>
        <v>604</v>
      </c>
      <c r="AJ13" s="870">
        <f t="shared" si="4"/>
        <v>0</v>
      </c>
      <c r="AK13" s="873">
        <f>SUBTOTAL(9,AK9:AK12)</f>
        <v>0</v>
      </c>
      <c r="AL13" s="877">
        <f>IF(ISNUMBER(NºAsuntos!G13/NºAsuntos!E13),NºAsuntos!G13/NºAsuntos!E13," - ")</f>
        <v>0.85365108463183625</v>
      </c>
      <c r="AM13" s="877">
        <f>IF(ISNUMBER(((NºAsuntos!I13/NºAsuntos!G13)*11)/factor_trimestre),((NºAsuntos!I13/NºAsuntos!G13)*11)/factor_trimestre," - ")</f>
        <v>7.6299212598425203</v>
      </c>
      <c r="AN13" s="878">
        <f>IF(ISNUMBER('Resol  Asuntos'!D13/NºAsuntos!G13),'Resol  Asuntos'!D13/NºAsuntos!G13," - ")</f>
        <v>0.21617752326413744</v>
      </c>
      <c r="AO13" s="879">
        <f>IF(ISNUMBER((NºAsuntos!C13+NºAsuntos!E13)/NºAsuntos!G13),(NºAsuntos!C13+NºAsuntos!E13)/NºAsuntos!G13," - ")</f>
        <v>1.6936292054402291</v>
      </c>
      <c r="AP13" s="880" t="str">
        <f t="shared" si="2"/>
        <v xml:space="preserve"> - </v>
      </c>
      <c r="AQ13" s="880">
        <f>IF(ISNUMBER((H13-W13+K13)/(F13)),(H13-W13+K13)/(F13)," - ")</f>
        <v>-1.7777777777777777</v>
      </c>
      <c r="AR13" s="881">
        <f>IF(ISNUMBER((Datos!P13-Datos!Q13)/(Datos!R13-Datos!P13+Datos!Q13)),(Datos!P13-Datos!Q13)/(Datos!R13-Datos!P13+Datos!Q13)," - ")</f>
        <v>0.11751448808757244</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396</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4</v>
      </c>
      <c r="B16" s="278" t="s">
        <v>396</v>
      </c>
      <c r="C16" s="163" t="str">
        <f>Datos!A16</f>
        <v xml:space="preserve">Jdos. 1ª Instª. e Instr.                        </v>
      </c>
      <c r="D16" s="163"/>
      <c r="E16" s="1028">
        <f>IF(ISNUMBER(Datos!AQ16),Datos!AQ16," - ")</f>
        <v>4</v>
      </c>
      <c r="F16" s="228">
        <f>IF(ISNUMBER(AA16+W16-Datos!J16-K16),AA16+W16-Datos!J16-K16," - ")</f>
        <v>1183</v>
      </c>
      <c r="G16" s="336">
        <f>IF(ISNUMBER(IF(D_I="SI",Datos!I16,Datos!I16+Datos!AC16)),IF(D_I="SI",Datos!I16,Datos!I16+Datos!AC16)," - ")</f>
        <v>1182</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112</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2942</v>
      </c>
      <c r="X16" s="229">
        <f>IF(ISNUMBER(Datos!Q16),Datos!Q16," - ")</f>
        <v>124</v>
      </c>
      <c r="Y16" s="337">
        <f t="shared" ref="Y16:Y17" si="7">SUM(W16:X16)</f>
        <v>3066</v>
      </c>
      <c r="Z16" s="338" t="str">
        <f>IF(ISNUMBER(Datos!CC16),Datos!CC16," - ")</f>
        <v xml:space="preserve"> - </v>
      </c>
      <c r="AA16" s="335">
        <f>IF(ISNUMBER(IF(D_I="SI",Datos!L16,Datos!L16+Datos!AF16)),IF(D_I="SI",Datos!L16,Datos!L16+Datos!AF16)," - ")</f>
        <v>1379</v>
      </c>
      <c r="AB16" s="337">
        <f>IF(ISNUMBER(Datos!R16),Datos!R16," - ")</f>
        <v>136</v>
      </c>
      <c r="AC16" s="337">
        <f t="shared" si="6"/>
        <v>1515</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526</v>
      </c>
      <c r="AJ16" s="234" t="str">
        <f>IF(ISNUMBER(Datos!BW16),Datos!BW16," - ")</f>
        <v xml:space="preserve"> - </v>
      </c>
      <c r="AK16" s="235" t="str">
        <f>IF(ISNUMBER(Datos!BX16),Datos!BX16," - ")</f>
        <v xml:space="preserve"> - </v>
      </c>
      <c r="AL16" s="246">
        <f>IF(ISNUMBER(NºAsuntos!G16/NºAsuntos!E16),NºAsuntos!G16/NºAsuntos!E16," - ")</f>
        <v>0.93753983428935628</v>
      </c>
      <c r="AM16" s="263">
        <f>IF(ISNUMBER(((NºAsuntos!I16/NºAsuntos!G16)*11)/factor_trimestre),((NºAsuntos!I16/NºAsuntos!G16)*11)/factor_trimestre," - ")</f>
        <v>5.1560163154316792</v>
      </c>
      <c r="AN16" s="247">
        <f>IF(ISNUMBER('Resol  Asuntos'!D16/NºAsuntos!G16),'Resol  Asuntos'!D16/NºAsuntos!G16," - ")</f>
        <v>0.17878993881713121</v>
      </c>
      <c r="AO16" s="248">
        <f>IF(ISNUMBER((NºAsuntos!C16+NºAsuntos!E16)/NºAsuntos!G16),(NºAsuntos!C16+NºAsuntos!E16)/NºAsuntos!G16," - ")</f>
        <v>1.4683888511216858</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396</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66</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3</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80</v>
      </c>
      <c r="X17" s="229">
        <f>IF(ISNUMBER(Datos!Q17),Datos!Q17," - ")</f>
        <v>2</v>
      </c>
      <c r="Y17" s="337">
        <f t="shared" si="7"/>
        <v>82</v>
      </c>
      <c r="Z17" s="338" t="str">
        <f>IF(ISNUMBER(Datos!CC17),Datos!CC17," - ")</f>
        <v xml:space="preserve"> - </v>
      </c>
      <c r="AA17" s="335">
        <f>IF(ISNUMBER(Datos!L17),Datos!L17,"-")</f>
        <v>29</v>
      </c>
      <c r="AB17" s="337">
        <f>IF(ISNUMBER(Datos!R17),Datos!R17," - ")</f>
        <v>3</v>
      </c>
      <c r="AC17" s="337">
        <f t="shared" si="6"/>
        <v>32</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15</v>
      </c>
      <c r="AJ17" s="234" t="str">
        <f>IF(ISNUMBER(Datos!BW17),Datos!BW17," - ")</f>
        <v xml:space="preserve"> - </v>
      </c>
      <c r="AK17" s="235" t="str">
        <f>IF(ISNUMBER(Datos!BX17),Datos!BX17," - ")</f>
        <v xml:space="preserve"> - </v>
      </c>
      <c r="AL17" s="246">
        <f>IF(ISNUMBER(NºAsuntos!G17/NºAsuntos!E17),NºAsuntos!G17/NºAsuntos!E17," - ")</f>
        <v>1.8604651162790697</v>
      </c>
      <c r="AM17" s="263">
        <f>IF(ISNUMBER(((NºAsuntos!I17/NºAsuntos!G17)*11)/factor_trimestre),((NºAsuntos!I17/NºAsuntos!G17)*11)/factor_trimestre," - ")</f>
        <v>3.9874999999999998</v>
      </c>
      <c r="AN17" s="247">
        <f>IF(ISNUMBER('Resol  Asuntos'!D17/NºAsuntos!G17),'Resol  Asuntos'!D17/NºAsuntos!G17," - ")</f>
        <v>0.1875</v>
      </c>
      <c r="AO17" s="248">
        <f>IF(ISNUMBER((NºAsuntos!C17+NºAsuntos!E17)/NºAsuntos!G17),(NºAsuntos!C17+NºAsuntos!E17)/NºAsuntos!G17," - ")</f>
        <v>1.3625</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4</v>
      </c>
      <c r="F18" s="868">
        <f>SUBTOTAL(9,F14:F17)</f>
        <v>1183</v>
      </c>
      <c r="G18" s="869">
        <f>SUBTOTAL(9,G15:G17)</f>
        <v>1248</v>
      </c>
      <c r="H18" s="868">
        <f t="shared" ref="H18:O18" si="10">SUBTOTAL(9,H14:H17)</f>
        <v>0</v>
      </c>
      <c r="I18" s="870">
        <f t="shared" si="10"/>
        <v>0</v>
      </c>
      <c r="J18" s="870">
        <f t="shared" si="10"/>
        <v>0</v>
      </c>
      <c r="K18" s="870">
        <f t="shared" si="10"/>
        <v>0</v>
      </c>
      <c r="L18" s="870">
        <f t="shared" si="10"/>
        <v>115</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3022</v>
      </c>
      <c r="X18" s="870">
        <f t="shared" si="11"/>
        <v>126</v>
      </c>
      <c r="Y18" s="871">
        <f t="shared" si="11"/>
        <v>3148</v>
      </c>
      <c r="Z18" s="871">
        <f t="shared" si="11"/>
        <v>0</v>
      </c>
      <c r="AA18" s="871">
        <f t="shared" si="11"/>
        <v>1408</v>
      </c>
      <c r="AB18" s="871">
        <f t="shared" si="11"/>
        <v>139</v>
      </c>
      <c r="AC18" s="871">
        <f t="shared" si="11"/>
        <v>1547</v>
      </c>
      <c r="AD18" s="871">
        <f t="shared" si="11"/>
        <v>0</v>
      </c>
      <c r="AE18" s="875">
        <f t="shared" si="11"/>
        <v>0</v>
      </c>
      <c r="AF18" s="868">
        <f t="shared" si="11"/>
        <v>0</v>
      </c>
      <c r="AG18" s="876">
        <f t="shared" si="11"/>
        <v>0</v>
      </c>
      <c r="AH18" s="873">
        <f t="shared" si="11"/>
        <v>0</v>
      </c>
      <c r="AI18" s="868">
        <f t="shared" si="11"/>
        <v>541</v>
      </c>
      <c r="AJ18" s="870">
        <f t="shared" si="11"/>
        <v>0</v>
      </c>
      <c r="AK18" s="873">
        <f t="shared" si="11"/>
        <v>0</v>
      </c>
      <c r="AL18" s="877">
        <f>IF(ISNUMBER(NºAsuntos!G18/NºAsuntos!E18),NºAsuntos!G18/NºAsuntos!E18," - ")</f>
        <v>0.95001571832756992</v>
      </c>
      <c r="AM18" s="877">
        <f>IF(ISNUMBER(((NºAsuntos!I18/NºAsuntos!G18)*11)/factor_trimestre),((NºAsuntos!I18/NºAsuntos!G18)*11)/factor_trimestre," - ")</f>
        <v>5.1250827266710788</v>
      </c>
      <c r="AN18" s="878">
        <f>IF(ISNUMBER('Resol  Asuntos'!D18/NºAsuntos!G18),'Resol  Asuntos'!D18/NºAsuntos!G18," - ")</f>
        <v>0.17902051621442752</v>
      </c>
      <c r="AO18" s="879">
        <f>IF(ISNUMBER((NºAsuntos!C18+NºAsuntos!E18)/NºAsuntos!G18),(NºAsuntos!C18+NºAsuntos!E18)/NºAsuntos!G18," - ")</f>
        <v>1.4655857048312375</v>
      </c>
      <c r="AP18" s="880" t="str">
        <f t="shared" si="2"/>
        <v xml:space="preserve"> - </v>
      </c>
      <c r="AQ18" s="880">
        <f>IF(ISNUMBER((H18-W18+K18)/(F18)),(H18-W18+K18)/(F18)," - ")</f>
        <v>-2.5545224006762468</v>
      </c>
      <c r="AR18" s="881">
        <f>IF(ISNUMBER((Datos!P18-Datos!Q18)/(Datos!R18-Datos!P18+Datos!Q18)),(Datos!P18-Datos!Q18)/(Datos!R18-Datos!P18+Datos!Q18)," - ")</f>
        <v>-7.3333333333333334E-2</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8</v>
      </c>
      <c r="F19" s="823">
        <f t="shared" si="13"/>
        <v>1192</v>
      </c>
      <c r="G19" s="824">
        <f t="shared" si="13"/>
        <v>1257</v>
      </c>
      <c r="H19" s="823">
        <f t="shared" si="13"/>
        <v>0</v>
      </c>
      <c r="I19" s="825">
        <f t="shared" si="13"/>
        <v>0</v>
      </c>
      <c r="J19" s="825">
        <f t="shared" si="13"/>
        <v>0</v>
      </c>
      <c r="K19" s="884">
        <f t="shared" si="13"/>
        <v>0</v>
      </c>
      <c r="L19" s="825">
        <f t="shared" si="13"/>
        <v>762</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3038</v>
      </c>
      <c r="X19" s="824">
        <f t="shared" si="14"/>
        <v>408</v>
      </c>
      <c r="Y19" s="831">
        <f t="shared" si="14"/>
        <v>3446</v>
      </c>
      <c r="Z19" s="831">
        <f t="shared" si="14"/>
        <v>0</v>
      </c>
      <c r="AA19" s="831">
        <f t="shared" si="14"/>
        <v>1418</v>
      </c>
      <c r="AB19" s="831">
        <f t="shared" si="14"/>
        <v>3610</v>
      </c>
      <c r="AC19" s="831">
        <f t="shared" si="14"/>
        <v>1575</v>
      </c>
      <c r="AD19" s="831">
        <f t="shared" si="14"/>
        <v>0</v>
      </c>
      <c r="AE19" s="833">
        <f t="shared" si="14"/>
        <v>0</v>
      </c>
      <c r="AF19" s="834">
        <f t="shared" si="14"/>
        <v>0</v>
      </c>
      <c r="AG19" s="835">
        <f t="shared" si="14"/>
        <v>0</v>
      </c>
      <c r="AH19" s="833">
        <f t="shared" si="14"/>
        <v>0</v>
      </c>
      <c r="AI19" s="823">
        <f t="shared" si="14"/>
        <v>1145</v>
      </c>
      <c r="AJ19" s="823">
        <f t="shared" si="14"/>
        <v>0</v>
      </c>
      <c r="AK19" s="833">
        <f t="shared" si="14"/>
        <v>0</v>
      </c>
      <c r="AL19" s="887">
        <f>IF(ISNUMBER(NºAsuntos!G19/NºAsuntos!E19),NºAsuntos!G19/NºAsuntos!E19," - ")</f>
        <v>0.90114657576696622</v>
      </c>
      <c r="AM19" s="888">
        <f>IF(ISNUMBER(((NºAsuntos!I19/NºAsuntos!G19)*11)/factor_trimestre),((NºAsuntos!I19/NºAsuntos!G19)*11)/factor_trimestre," - ")</f>
        <v>6.3284044016506193</v>
      </c>
      <c r="AN19" s="888">
        <f>IF(ISNUMBER('Resol  Asuntos'!D19/NºAsuntos!G19),'Resol  Asuntos'!D19/NºAsuntos!G19," - ")</f>
        <v>0.1968707015130674</v>
      </c>
      <c r="AO19" s="889">
        <f>IF(ISNUMBER((NºAsuntos!C19+NºAsuntos!E19)/NºAsuntos!G19),(NºAsuntos!C19+NºAsuntos!E19)/NºAsuntos!G19," - ")</f>
        <v>1.5751375515818431</v>
      </c>
      <c r="AP19" s="890" t="str">
        <f t="shared" si="2"/>
        <v xml:space="preserve"> - </v>
      </c>
      <c r="AQ19" s="891">
        <f>IF(OR(ISNUMBER(FIND("01",Criterios!A8,1)),ISNUMBER(FIND("02",Criterios!A8,1)),ISNUMBER(FIND("03",Criterios!A8,1)),ISNUMBER(FIND("04",Criterios!A8,1))),(I19-W19+K19)/(F19-K19),(H19-W19+K19)/(F19-K19))</f>
        <v>-2.5486577181208054</v>
      </c>
      <c r="AR19" s="892">
        <f>IF(ISNUMBER((Datos!P19-Datos!Q19)/(Datos!R19-Datos!P19+Datos!Q19)),(Datos!P19-Datos!Q19)/(Datos!R19-Datos!P19+Datos!Q19)," - ")</f>
        <v>0.10872235872235872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264</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502.8</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265</v>
      </c>
      <c r="D21" s="344"/>
      <c r="E21" s="286">
        <f>IF(ISNUMBER(STDEV(E8:E18)),STDEV(E8:E18),"-")</f>
        <v>2.1081851067789197</v>
      </c>
      <c r="F21" s="255">
        <f>IF(ISNUMBER(STDEV(F8:F18)),STDEV(F8:F18),"-")</f>
        <v>677.80921602862065</v>
      </c>
      <c r="G21" s="256">
        <f>IF(ISNUMBER(STDEV(G8:G18)),STDEV(G8:G18),"-")</f>
        <v>650.98133613798791</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1613.3199310738091</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285.49162276092562</v>
      </c>
      <c r="AJ21" s="255">
        <f t="shared" si="18"/>
        <v>0</v>
      </c>
      <c r="AK21" s="257">
        <f t="shared" si="18"/>
        <v>0</v>
      </c>
      <c r="AL21" s="252">
        <f t="shared" si="18"/>
        <v>0.39168571930143087</v>
      </c>
      <c r="AM21" s="253">
        <f t="shared" si="18"/>
        <v>1.522716906048057</v>
      </c>
      <c r="AN21" s="253">
        <f t="shared" si="18"/>
        <v>0.30367833647505105</v>
      </c>
      <c r="AO21" s="254">
        <f t="shared" si="18"/>
        <v>0.13851058755306211</v>
      </c>
      <c r="AP21" s="294" t="str">
        <f t="shared" si="18"/>
        <v>-</v>
      </c>
      <c r="AQ21" s="295">
        <f t="shared" si="18"/>
        <v>0.54924139010169204</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424</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262</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263</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03 may. 2024</v>
      </c>
      <c r="D30" s="120"/>
    </row>
    <row r="32" spans="1:65">
      <c r="C32" s="1"/>
      <c r="D32" s="1"/>
    </row>
  </sheetData>
  <sheetProtection algorithmName="SHA-512" hashValue="fuHoLbww4Ql1KY8r4veOuKTOExw5gOv4Z9z28By5PfVRAEEZKJZehi90xRm+gD03aSLItP17p3HqGg2NflfJ3A==" saltValue="YDiDIYDHM+sD+kxAdp0Sm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COMUNIDAD VALENCIANA</v>
      </c>
      <c r="E2" s="266"/>
    </row>
    <row r="3" spans="2:20" ht="17.25" customHeight="1">
      <c r="C3" s="270"/>
      <c r="D3" s="265" t="str">
        <f>Criterios!A10 &amp;"  "&amp;Criterios!B10</f>
        <v>Provincias  VALENCIA</v>
      </c>
      <c r="E3" s="266"/>
    </row>
    <row r="4" spans="2:20" ht="17.25" customHeight="1" thickBot="1">
      <c r="D4" s="265" t="str">
        <f>Criterios!A11 &amp;"  "&amp;Criterios!B11</f>
        <v>Resumenes por Partidos Judiciales  XÀTIVA</v>
      </c>
      <c r="E4" s="266"/>
    </row>
    <row r="5" spans="2:20" ht="12.75" customHeight="1">
      <c r="B5" s="275"/>
      <c r="C5" s="1279" t="str">
        <f>"Año:  " &amp;Criterios!B5 &amp; "          Trimestre   " &amp;Criterios!D5 &amp; " al " &amp;Criterios!D6</f>
        <v>Año:  2023          Trimestre   1 al 4</v>
      </c>
      <c r="D5" s="1267" t="s">
        <v>128</v>
      </c>
      <c r="E5" s="1309" t="s">
        <v>13</v>
      </c>
      <c r="F5" s="1306" t="s">
        <v>9</v>
      </c>
      <c r="G5" s="1303" t="s">
        <v>129</v>
      </c>
      <c r="H5" s="1300" t="s">
        <v>7</v>
      </c>
      <c r="I5" s="1264" t="s">
        <v>120</v>
      </c>
      <c r="J5" s="1293" t="s">
        <v>121</v>
      </c>
      <c r="K5" s="1255" t="s">
        <v>122</v>
      </c>
      <c r="M5" s="165"/>
      <c r="N5" s="173" t="s">
        <v>277</v>
      </c>
      <c r="O5" s="165"/>
      <c r="P5" s="165"/>
      <c r="Q5" s="174" t="s">
        <v>278</v>
      </c>
      <c r="R5" s="174"/>
      <c r="S5" s="172"/>
      <c r="T5" s="172"/>
    </row>
    <row r="6" spans="2:20" ht="12.75" customHeight="1">
      <c r="B6" s="276"/>
      <c r="C6" s="1280"/>
      <c r="D6" s="1268"/>
      <c r="E6" s="1310"/>
      <c r="F6" s="1307"/>
      <c r="G6" s="1304"/>
      <c r="H6" s="1301"/>
      <c r="I6" s="1265"/>
      <c r="J6" s="1294"/>
      <c r="K6" s="1256"/>
      <c r="M6" s="1296" t="s">
        <v>293</v>
      </c>
      <c r="N6" s="1296" t="s">
        <v>274</v>
      </c>
      <c r="O6" s="1296" t="s">
        <v>275</v>
      </c>
      <c r="P6" s="1296" t="s">
        <v>276</v>
      </c>
      <c r="Q6" s="1296" t="s">
        <v>293</v>
      </c>
      <c r="R6" s="1296" t="s">
        <v>274</v>
      </c>
      <c r="S6" s="1296" t="s">
        <v>275</v>
      </c>
      <c r="T6" s="1296" t="s">
        <v>276</v>
      </c>
    </row>
    <row r="7" spans="2:20" ht="23.25" customHeight="1" thickBot="1">
      <c r="B7" s="277"/>
      <c r="C7" s="267" t="str">
        <f>Datos!A7</f>
        <v>COMPETENCIAS</v>
      </c>
      <c r="D7" s="1312"/>
      <c r="E7" s="1311"/>
      <c r="F7" s="1308"/>
      <c r="G7" s="1305"/>
      <c r="H7" s="1302"/>
      <c r="I7" s="1313"/>
      <c r="J7" s="1297"/>
      <c r="K7" s="1298"/>
      <c r="M7" s="1296"/>
      <c r="N7" s="1296"/>
      <c r="O7" s="1296"/>
      <c r="P7" s="1296"/>
      <c r="Q7" s="1296"/>
      <c r="R7" s="1296"/>
      <c r="S7" s="1296"/>
      <c r="T7" s="1296"/>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246</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246</v>
      </c>
      <c r="C10" s="7" t="str">
        <f>Datos!A10</f>
        <v>Jdos. Violencia contra la mujer</v>
      </c>
      <c r="D10" s="355">
        <f>IF(ISNUMBER((Datos!I10-Datos!S10)/Datos!S10),(Datos!I10-Datos!S10)/Datos!S10," - ")</f>
        <v>-0.4</v>
      </c>
      <c r="E10" s="351">
        <f>IF(ISNUMBER((Datos!J10-Datos!T10)/Datos!T10),(Datos!J10-Datos!T10)/Datos!T10," - ")</f>
        <v>-0.39285714285714285</v>
      </c>
      <c r="F10" s="351">
        <f>IF(ISNUMBER((Datos!K10-Datos!U10)/Datos!U10),(Datos!K10-Datos!U10)/Datos!U10," - ")</f>
        <v>-0.52941176470588236</v>
      </c>
      <c r="G10" s="352">
        <f>IF(ISNUMBER((Datos!L10-Datos!V10)/Datos!V10),(Datos!L10-Datos!V10)/Datos!V10," - ")</f>
        <v>0.1111111111111111</v>
      </c>
      <c r="H10" s="233">
        <f>IF(ISNUMBER((Datos!M10-Datos!W10)/Datos!W10),(Datos!M10-Datos!W10)/Datos!W10," - ")</f>
        <v>-0.11764705882352941</v>
      </c>
      <c r="I10" s="353">
        <f>IF(ISNUMBER((Tasas!C10-Datos!BE10)/Datos!BE10),(Tasas!C10-Datos!BE10)/Datos!BE10," - ")</f>
        <v>1.3611111111111112</v>
      </c>
      <c r="J10" s="352">
        <f>IF(ISNUMBER((Tasas!D10-Datos!BF10)/Datos!BF10),(Tasas!D10-Datos!BF10)/Datos!BF10," - ")</f>
        <v>0.875</v>
      </c>
      <c r="K10" s="354">
        <f>IF(ISNUMBER((Tasas!E10-Datos!BG10)/Datos!BG10),(Tasas!E10-Datos!BG10)/Datos!BG10," - ")</f>
        <v>0.28488372093023262</v>
      </c>
    </row>
    <row r="11" spans="2:20" ht="14.25">
      <c r="B11" s="278" t="s">
        <v>246</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246</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-0.19315068493150686</v>
      </c>
      <c r="I12" s="353">
        <f>IF(ISNUMBER((Tasas!C12-Datos!BE12)/Datos!BE12),(Tasas!C12-Datos!BE12)/Datos!BE12," - ")</f>
        <v>0.52446066383654844</v>
      </c>
      <c r="J12" s="352">
        <f>IF(ISNUMBER((Tasas!D12-Datos!BF12)/Datos!BF12),(Tasas!D12-Datos!BF12)/Datos!BF12," - ")</f>
        <v>-0.41935221278600382</v>
      </c>
      <c r="K12" s="354">
        <f>IF(ISNUMBER((Tasas!E12-Datos!BG12)/Datos!BG12),(Tasas!E12-Datos!BG12)/Datos!BG12," - ")</f>
        <v>0.16407075783451874</v>
      </c>
      <c r="M12" t="e">
        <f>IF(Monitorios="SI",Datos!CE12,0)</f>
        <v>#REF!</v>
      </c>
      <c r="N12" t="e">
        <f>IF(Monitorios="SI",Datos!CF12,0)</f>
        <v>#REF!</v>
      </c>
      <c r="O12" t="e">
        <f>IF(Monitorios="SI",Datos!CG12,0)</f>
        <v>#REF!</v>
      </c>
      <c r="P12" t="e">
        <f>IF(Monitorios="SI",Datos!CH12,0)</f>
        <v>#REF!</v>
      </c>
      <c r="Q12">
        <f>IF(J_V="SI",0,Datos!AG12)</f>
        <v>115</v>
      </c>
      <c r="R12">
        <f>IF(J_V="SI",0,Datos!AH12)</f>
        <v>475</v>
      </c>
      <c r="S12">
        <f>IF(J_V="SI",0,Datos!AI12)</f>
        <v>475</v>
      </c>
      <c r="T12">
        <f>IF(J_V="SI",0,Datos!AJ12)</f>
        <v>115</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-0.19143239625167335</v>
      </c>
      <c r="I13" s="360">
        <f>IF(ISNUMBER((Tasas!C13-Datos!BE13)/Datos!BE13),(Tasas!C13-Datos!BE13)/Datos!BE13," - ")</f>
        <v>0.53035806189999823</v>
      </c>
      <c r="J13" s="358">
        <f>IF(ISNUMBER((Tasas!D13-Datos!BF13)/Datos!BF13),(Tasas!D13-Datos!BF13)/Datos!BF13," - ")</f>
        <v>-0.41027504458706915</v>
      </c>
      <c r="K13" s="361">
        <f>IF(ISNUMBER((Tasas!E13-Datos!BG13)/Datos!BG13),(Tasas!E13-Datos!BG13)/Datos!BG13," - ")</f>
        <v>0.1654109474801406</v>
      </c>
      <c r="M13" t="e">
        <f>IF(Monitorios="SI",Datos!CE13,0)</f>
        <v>#REF!</v>
      </c>
      <c r="N13" t="e">
        <f>IF(Monitorios="SI",Datos!CF13,0)</f>
        <v>#REF!</v>
      </c>
      <c r="O13" t="e">
        <f>IF(Monitorios="SI",Datos!CG13,0)</f>
        <v>#REF!</v>
      </c>
      <c r="P13" t="e">
        <f>IF(Monitorios="SI",Datos!CH13,0)</f>
        <v>#REF!</v>
      </c>
      <c r="Q13">
        <f>IF(J_V="SI",0,Datos!AG13)</f>
        <v>115</v>
      </c>
      <c r="R13">
        <f>IF(J_V="SI",0,Datos!AH13)</f>
        <v>475</v>
      </c>
      <c r="S13">
        <f>IF(J_V="SI",0,Datos!AI13)</f>
        <v>475</v>
      </c>
      <c r="T13">
        <f>IF(J_V="SI",0,Datos!AJ13)</f>
        <v>115</v>
      </c>
    </row>
    <row r="14" spans="2:20" ht="15" thickTop="1">
      <c r="B14" s="182"/>
      <c r="C14" s="70" t="str">
        <f>Datos!A14</f>
        <v xml:space="preserve">Jurisdicción Penal ( 2 ):                      </v>
      </c>
      <c r="D14" s="249"/>
      <c r="E14" s="250"/>
      <c r="F14" s="250"/>
      <c r="G14" s="250"/>
      <c r="H14" s="273"/>
      <c r="I14" s="250"/>
      <c r="J14" s="250"/>
      <c r="K14" s="291"/>
    </row>
    <row r="15" spans="2:20" ht="14.25">
      <c r="B15" s="278" t="s">
        <v>396</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396</v>
      </c>
      <c r="C16" s="7" t="str">
        <f>Datos!A16</f>
        <v xml:space="preserve">Jdos. 1ª Instª. e Instr.                        </v>
      </c>
      <c r="D16" s="355">
        <f>IF(ISNUMBER(
   IF(D_I="SI",(Datos!I16-Datos!S16)/Datos!S16,(Datos!I16+Datos!AC16-(Datos!S16+Datos!AK16))/(Datos!S16+Datos!AK16))
     ),IF(D_I="SI",(Datos!I16-Datos!S16)/Datos!S16,(Datos!I16+Datos!AC16-(Datos!S16+Datos!AK16))/(Datos!S16+Datos!AK16))," - ")</f>
        <v>5.1601423487544484E-2</v>
      </c>
      <c r="E16" s="351">
        <f>IF(ISNUMBER(
   IF(D_I="SI",(Datos!J16-Datos!T16)/Datos!T16,(Datos!J16+Datos!AD16-(Datos!T16+Datos!AL16))/(Datos!T16+Datos!AL16))
     ),IF(D_I="SI",(Datos!J16-Datos!T16)/Datos!T16,(Datos!J16+Datos!AD16-(Datos!T16+Datos!AL16))/(Datos!T16+Datos!AL16))," - ")</f>
        <v>-1.1964735516372796E-2</v>
      </c>
      <c r="F16" s="351">
        <f>IF(ISNUMBER(
   IF(D_I="SI",(Datos!K16-Datos!U16)/Datos!U16,(Datos!K16+Datos!AE16-(Datos!U16+Datos!AM16))/(Datos!U16+Datos!AM16))
     ),IF(D_I="SI",(Datos!K16-Datos!U16)/Datos!U16,(Datos!K16+Datos!AE16-(Datos!U16+Datos!AM16))/(Datos!U16+Datos!AM16))," - ")</f>
        <v>-5.644644002565747E-2</v>
      </c>
      <c r="G16" s="352">
        <f>IF(ISNUMBER(
   IF(D_I="SI",(Datos!L16-Datos!V16)/Datos!V16,(Datos!L16+Datos!AF16-(Datos!V16+Datos!AN16))/(Datos!V16+Datos!AN16))
     ),IF(D_I="SI",(Datos!L16-Datos!V16)/Datos!V16,(Datos!L16+Datos!AF16-(Datos!V16+Datos!AN16))/(Datos!V16+Datos!AN16))," - ")</f>
        <v>0.16666666666666666</v>
      </c>
      <c r="H16" s="233">
        <f>IF(ISNUMBER((Datos!M16-Datos!W16)/Datos!W16),(Datos!M16-Datos!W16)/Datos!W16," - ")</f>
        <v>-0.10544217687074831</v>
      </c>
      <c r="I16" s="353">
        <f>IF(ISNUMBER((Tasas!C16-Datos!BE16)/Datos!BE16),(Tasas!C16-Datos!BE16)/Datos!BE16," - ")</f>
        <v>0.23646045773849989</v>
      </c>
      <c r="J16" s="352">
        <f>IF(ISNUMBER((Tasas!D16-Datos!BF16)/Datos!BF16),(Tasas!D16-Datos!BF16)/Datos!BF16," - ")</f>
        <v>-5.1926821034328087E-2</v>
      </c>
      <c r="K16" s="354">
        <f>IF(ISNUMBER((Tasas!E16-Datos!BG16)/Datos!BG16),(Tasas!E16-Datos!BG16)/Datos!BG16," - ")</f>
        <v>6.4752659952887454E-2</v>
      </c>
    </row>
    <row r="17" spans="2:20" ht="15" thickBot="1">
      <c r="B17" s="278" t="s">
        <v>396</v>
      </c>
      <c r="C17" s="7" t="str">
        <f>Datos!A17</f>
        <v>Jdos. Violencia contra la mujer</v>
      </c>
      <c r="D17" s="355">
        <f>IF(ISNUMBER(
   IF(D_I="SI",(Datos!I17-Datos!S17)/Datos!S17,(Datos!I17+Datos!AC17-(Datos!S17+Datos!AK17))/(Datos!S17+Datos!AK17))
     ),IF(D_I="SI",(Datos!I17-Datos!S17)/Datos!S17,(Datos!I17+Datos!AC17-(Datos!S17+Datos!AK17))/(Datos!S17+Datos!AK17))," - ")</f>
        <v>0.83333333333333337</v>
      </c>
      <c r="E17" s="351">
        <f>IF(ISNUMBER(
   IF(D_I="SI",(Datos!J17-Datos!T17)/Datos!T17,(Datos!J17+Datos!AD17-(Datos!T17+Datos!AL17))/(Datos!T17+Datos!AL17))
     ),IF(D_I="SI",(Datos!J17-Datos!T17)/Datos!T17,(Datos!J17+Datos!AD17-(Datos!T17+Datos!AL17))/(Datos!T17+Datos!AL17))," - ")</f>
        <v>-0.81932773109243695</v>
      </c>
      <c r="F17" s="351">
        <f>IF(ISNUMBER(
   IF(D_I="SI",(Datos!K17-Datos!U17)/Datos!U17,(Datos!K17+Datos!AE17-(Datos!U17+Datos!AM17))/(Datos!U17+Datos!AM17))
     ),IF(D_I="SI",(Datos!K17-Datos!U17)/Datos!U17,(Datos!K17+Datos!AE17-(Datos!U17+Datos!AM17))/(Datos!U17+Datos!AM17))," - ")</f>
        <v>-0.61538461538461542</v>
      </c>
      <c r="G17" s="352">
        <f>IF(ISNUMBER(
   IF(D_I="SI",(Datos!L17-Datos!V17)/Datos!V17,(Datos!L17+Datos!AF17-(Datos!V17+Datos!AN17))/(Datos!V17+Datos!AN17))
     ),IF(D_I="SI",(Datos!L17-Datos!V17)/Datos!V17,(Datos!L17+Datos!AF17-(Datos!V17+Datos!AN17))/(Datos!V17+Datos!AN17))," - ")</f>
        <v>-0.56060606060606055</v>
      </c>
      <c r="H17" s="233">
        <f>IF(ISNUMBER((Datos!M17-Datos!W17)/Datos!W17),(Datos!M17-Datos!W17)/Datos!W17," - ")</f>
        <v>-0.625</v>
      </c>
      <c r="I17" s="353">
        <f>IF(ISNUMBER((Tasas!C17-Datos!BE17)/Datos!BE17),(Tasas!C17-Datos!BE17)/Datos!BE17," - ")</f>
        <v>0.14242424242424245</v>
      </c>
      <c r="J17" s="352">
        <f>IF(ISNUMBER((Tasas!D17-Datos!BF17)/Datos!BF17),(Tasas!D17-Datos!BF17)/Datos!BF17," - ")</f>
        <v>-2.5000000000000053E-2</v>
      </c>
      <c r="K17" s="354">
        <f>IF(ISNUMBER((Tasas!E17-Datos!BG17)/Datos!BG17),(Tasas!E17-Datos!BG17)/Datos!BG17," - ")</f>
        <v>3.4306569343065738E-2</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7.586206896551724E-2</v>
      </c>
      <c r="E18" s="357">
        <f>IF(ISNUMBER(
   IF(D_I="SI",(Datos!J18-Datos!T18)/Datos!T18,(Datos!J18+Datos!AD18-(Datos!T18+Datos!AL18))/(Datos!T18+Datos!AL18))
     ),IF(D_I="SI",(Datos!J18-Datos!T18)/Datos!T18,(Datos!J18+Datos!AD18-(Datos!T18+Datos!AL18))/(Datos!T18+Datos!AL18))," - ")</f>
        <v>-6.8248388986526062E-2</v>
      </c>
      <c r="F18" s="357">
        <f>IF(ISNUMBER(
   IF(D_I="SI",(Datos!K18-Datos!U18)/Datos!U18,(Datos!K18+Datos!AE18-(Datos!U18+Datos!AM18))/(Datos!U18+Datos!AM18))
     ),IF(D_I="SI",(Datos!K18-Datos!U18)/Datos!U18,(Datos!K18+Datos!AE18-(Datos!U18+Datos!AM18))/(Datos!U18+Datos!AM18))," - ")</f>
        <v>-9.140108238123873E-2</v>
      </c>
      <c r="G18" s="358">
        <f>IF(ISNUMBER(
   IF(D_I="SI",(Datos!L18-Datos!V18)/Datos!V18,(Datos!L18+Datos!AF18-(Datos!V18+Datos!AN18))/(Datos!V18+Datos!AN18))
     ),IF(D_I="SI",(Datos!L18-Datos!V18)/Datos!V18,(Datos!L18+Datos!AF18-(Datos!V18+Datos!AN18))/(Datos!V18+Datos!AN18))," - ")</f>
        <v>0.12820512820512819</v>
      </c>
      <c r="H18" s="359">
        <f>IF(ISNUMBER((Datos!M18-Datos!W18)/Datos!W18),(Datos!M18-Datos!W18)/Datos!W18," - ")</f>
        <v>-0.13853503184713375</v>
      </c>
      <c r="I18" s="360">
        <f>IF(ISNUMBER((Tasas!C18-Datos!BE18)/Datos!BE18),(Tasas!C18-Datos!BE18)/Datos!BE18," - ")</f>
        <v>0.24169763613840384</v>
      </c>
      <c r="J18" s="358">
        <f>IF(ISNUMBER((Tasas!D18-Datos!BF18)/Datos!BF18),(Tasas!D18-Datos!BF18)/Datos!BF18," - ")</f>
        <v>-5.1875418902570136E-2</v>
      </c>
      <c r="K18" s="361">
        <f>IF(ISNUMBER((Tasas!E18-Datos!BG18)/Datos!BG18),(Tasas!E18-Datos!BG18)/Datos!BG18," - ")</f>
        <v>6.5705739892587739E-2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7.5914149443561202E-2</v>
      </c>
      <c r="E19" s="366">
        <f>IF(ISNUMBER(
   IF(J_V="SI",(Datos!J19-Datos!T19)/Datos!T19,(Datos!J19+Datos!Z19-(Datos!T19+Datos!AH19))/(Datos!T19+Datos!AH19))
     ),IF(J_V="SI",(Datos!J19-Datos!T19)/Datos!T19,(Datos!J19+Datos!Z19-(Datos!T19+Datos!AH19))/(Datos!T19+Datos!AH19))," - ")</f>
        <v>-4.1864608076009502E-2</v>
      </c>
      <c r="F19" s="366">
        <f>IF(ISNUMBER(
   IF(J_V="SI",(Datos!K19-Datos!U19)/Datos!U19,(Datos!K19+Datos!AA19-(Datos!U19+Datos!AI19))/(Datos!U19+Datos!AI19))
     ),IF(J_V="SI",(Datos!K19-Datos!U19)/Datos!U19,(Datos!K19+Datos!AA19-(Datos!U19+Datos!AI19))/(Datos!U19+Datos!AI19))," - ")</f>
        <v>-0.11138273491214667</v>
      </c>
      <c r="G19" s="367">
        <f>IF(ISNUMBER(
   IF(J_V="SI",(Datos!L19-Datos!V19)/Datos!V19,(Datos!L19+Datos!AB19-(Datos!V19+Datos!AJ19))/(Datos!V19+Datos!AJ19))
     ),IF(J_V="SI",(Datos!L19-Datos!V19)/Datos!V19,(Datos!L19+Datos!AB19-(Datos!V19+Datos!AJ19))/(Datos!V19+Datos!AJ19))," - ")</f>
        <v>0.23605467306981898</v>
      </c>
      <c r="H19" s="368">
        <f>IF(ISNUMBER((Datos!M19-Datos!W19)/Datos!W19),(Datos!M19-Datos!W19)/Datos!W19," - ")</f>
        <v>-0.16727272727272727</v>
      </c>
      <c r="I19" s="365">
        <f>IF(ISNUMBER((Tasas!C19-Datos!BE19)/Datos!BE19),(Tasas!C19-Datos!BE19)/Datos!BE19," - ")</f>
        <v>0.39098656039235996</v>
      </c>
      <c r="J19" s="366">
        <f>IF(ISNUMBER((Tasas!D19-Datos!BF19)/Datos!BF19),(Tasas!D19-Datos!BF19)/Datos!BF19," - ")</f>
        <v>-0.2873237049762023</v>
      </c>
      <c r="K19" s="367">
        <f>IF(ISNUMBER((Tasas!E19-Datos!BG19)/Datos!BG19),(Tasas!E19-Datos!BG19)/Datos!BG19," - ")</f>
        <v>0.11427532156324711</v>
      </c>
    </row>
    <row r="20" spans="2:20" ht="15.75" customHeight="1" thickTop="1" thickBot="1">
      <c r="B20" s="170"/>
      <c r="C20" s="815" t="s">
        <v>264</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265</v>
      </c>
      <c r="D21" s="280">
        <f t="shared" ref="D21:K21" si="1">IF(ISNUMBER( STDEV(D8:D18)),STDEV(D8:D18)," - ")</f>
        <v>0.51128561323559329</v>
      </c>
      <c r="E21" s="281">
        <f t="shared" si="1"/>
        <v>0.37097282763260797</v>
      </c>
      <c r="F21" s="281">
        <f t="shared" si="1"/>
        <v>0.29027764596857764</v>
      </c>
      <c r="G21" s="282">
        <f t="shared" si="1"/>
        <v>0.34874158861543836</v>
      </c>
      <c r="H21" s="288">
        <f t="shared" si="1"/>
        <v>0.19766695325896169</v>
      </c>
      <c r="I21" s="280">
        <f t="shared" si="1"/>
        <v>0.44874128755808046</v>
      </c>
      <c r="J21" s="281">
        <f t="shared" si="1"/>
        <v>0.47215659780167329</v>
      </c>
      <c r="K21" s="282">
        <f t="shared" si="1"/>
        <v>9.3756911906888313E-2</v>
      </c>
    </row>
    <row r="22" spans="2:20" ht="13.5" thickTop="1">
      <c r="C22" s="1299"/>
      <c r="D22" s="1299"/>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262</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263</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03 may.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yQr88QTcgHn+Mow0eqzOA27x9RvK65tgL3WG/kIZ2U5nSFN0fo1Lu+savp3BIpXTNS/LIBg68fZojnZREmu+eQ==" saltValue="opyF4MTVDrXW/HCoumJFW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2024-05-03T10:34:41Z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